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ainffss1\Orgaos1\SETOP\SCT\DEQ\MODELOS E FORMULÁRIOS 2019\ANALISTAS\DENISE PONTES\PLANILHAS CAPELA\"/>
    </mc:Choice>
  </mc:AlternateContent>
  <bookViews>
    <workbookView xWindow="-15" yWindow="45" windowWidth="10920" windowHeight="10020" activeTab="1"/>
  </bookViews>
  <sheets>
    <sheet name="PLAN ORÇ" sheetId="6" r:id="rId1"/>
    <sheet name="MM CALC" sheetId="21" r:id="rId2"/>
    <sheet name="CRON" sheetId="7" r:id="rId3"/>
  </sheets>
  <externalReferences>
    <externalReference r:id="rId4"/>
  </externalReferences>
  <definedNames>
    <definedName name="_xlnm._FilterDatabase" localSheetId="2" hidden="1">CRON!$A$8:$J$8</definedName>
    <definedName name="_xlnm._FilterDatabase" localSheetId="1" hidden="1">'MM CALC'!$A$7:$G$126</definedName>
    <definedName name="_xlnm._FilterDatabase" localSheetId="0" hidden="1">'PLAN ORÇ'!$A$11:$I$131</definedName>
    <definedName name="_xlnm.Print_Area" localSheetId="2">CRON!$A$1:$H$33</definedName>
    <definedName name="_xlnm.Print_Area" localSheetId="1">'MM CALC'!$A$1:$G$134</definedName>
    <definedName name="_xlnm.Print_Area" localSheetId="0">'PLAN ORÇ'!$A$1:$I$141</definedName>
    <definedName name="_xlnm.Database">TEXT([1]Dados!$G$29,"mm-aaaa")</definedName>
    <definedName name="Fonte" localSheetId="1">'MM CALC'!#REF!</definedName>
    <definedName name="Fonte">'PLAN ORÇ'!$I1</definedName>
    <definedName name="nao" localSheetId="1">#REF!</definedName>
    <definedName name="nao">#REF!</definedName>
    <definedName name="_xlnm.Print_Titles" localSheetId="1">'MM CALC'!$1:$8</definedName>
    <definedName name="_xlnm.Print_Titles" localSheetId="0">'PLAN ORÇ'!$1:$10</definedName>
  </definedNames>
  <calcPr calcId="162913" iterate="1" iterateCount="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0" i="21" l="1"/>
  <c r="F19" i="21"/>
  <c r="F18" i="21"/>
  <c r="F14" i="21"/>
  <c r="F13" i="21"/>
  <c r="E111" i="6"/>
  <c r="F111" i="6"/>
  <c r="D22" i="6"/>
  <c r="F21" i="21" l="1"/>
  <c r="F43" i="21"/>
  <c r="F47" i="6" s="1"/>
  <c r="H47" i="6"/>
  <c r="H46" i="6"/>
  <c r="B46" i="6"/>
  <c r="C46" i="6"/>
  <c r="D46" i="6"/>
  <c r="E46" i="6"/>
  <c r="B47" i="6"/>
  <c r="C47" i="6"/>
  <c r="D47" i="6"/>
  <c r="E47" i="6"/>
  <c r="B48" i="6"/>
  <c r="C48" i="6"/>
  <c r="D48" i="6"/>
  <c r="E48" i="6"/>
  <c r="B49" i="6"/>
  <c r="C49" i="6"/>
  <c r="D49" i="6"/>
  <c r="E49" i="6"/>
  <c r="B50" i="6"/>
  <c r="C50" i="6"/>
  <c r="D50" i="6"/>
  <c r="E50" i="6"/>
  <c r="B51" i="6"/>
  <c r="C51" i="6"/>
  <c r="D51" i="6"/>
  <c r="E51" i="6"/>
  <c r="B52" i="6"/>
  <c r="C52" i="6"/>
  <c r="D52" i="6"/>
  <c r="E52" i="6"/>
  <c r="B53" i="6"/>
  <c r="C53" i="6"/>
  <c r="D53" i="6"/>
  <c r="E53" i="6"/>
  <c r="A46" i="6"/>
  <c r="A47" i="6"/>
  <c r="A48" i="6"/>
  <c r="A49" i="6"/>
  <c r="A50" i="6"/>
  <c r="A51" i="6"/>
  <c r="A52" i="6"/>
  <c r="A53" i="6"/>
  <c r="F42" i="21"/>
  <c r="F46" i="6" s="1"/>
  <c r="I47" i="6" l="1"/>
  <c r="I46" i="6"/>
  <c r="D14" i="6"/>
  <c r="A5" i="7" l="1"/>
  <c r="A6" i="7"/>
  <c r="H6" i="7"/>
  <c r="H14" i="6"/>
  <c r="F91" i="21"/>
  <c r="H65" i="6"/>
  <c r="A65" i="6"/>
  <c r="B65" i="6"/>
  <c r="C65" i="6"/>
  <c r="D65" i="6"/>
  <c r="E65" i="6"/>
  <c r="F65" i="6"/>
  <c r="F89" i="21"/>
  <c r="I65" i="6" l="1"/>
  <c r="A56" i="6"/>
  <c r="B56" i="6"/>
  <c r="C56" i="6"/>
  <c r="D56" i="6"/>
  <c r="E56" i="6"/>
  <c r="E78" i="6" l="1"/>
  <c r="E40" i="6"/>
  <c r="F36" i="21"/>
  <c r="F17" i="6" l="1"/>
  <c r="F18" i="6"/>
  <c r="F22" i="6"/>
  <c r="F23" i="6"/>
  <c r="F24" i="6"/>
  <c r="F25" i="6"/>
  <c r="F40" i="6"/>
  <c r="F74" i="6"/>
  <c r="F75" i="6"/>
  <c r="F76" i="6"/>
  <c r="F78" i="6"/>
  <c r="F79" i="6"/>
  <c r="F80" i="6"/>
  <c r="F81" i="6"/>
  <c r="F82" i="6"/>
  <c r="F83" i="6"/>
  <c r="F84" i="6"/>
  <c r="F85" i="6"/>
  <c r="F86" i="6"/>
  <c r="F87" i="6"/>
  <c r="F88" i="6"/>
  <c r="F89" i="6"/>
  <c r="F90" i="6"/>
  <c r="F91" i="6"/>
  <c r="F92" i="6"/>
  <c r="F93" i="6"/>
  <c r="F95" i="6"/>
  <c r="F97" i="6"/>
  <c r="F99" i="6"/>
  <c r="F100" i="6"/>
  <c r="F101" i="6"/>
  <c r="F102" i="6"/>
  <c r="F103" i="6"/>
  <c r="F104" i="6"/>
  <c r="F105" i="6"/>
  <c r="F106" i="6"/>
  <c r="F107" i="6"/>
  <c r="F108" i="6"/>
  <c r="F109" i="6"/>
  <c r="F110" i="6"/>
  <c r="F112" i="6"/>
  <c r="F113" i="6"/>
  <c r="F115" i="6"/>
  <c r="F116" i="6"/>
  <c r="F117" i="6"/>
  <c r="F118" i="6"/>
  <c r="F119" i="6"/>
  <c r="F120" i="6"/>
  <c r="F121" i="6"/>
  <c r="F122" i="6"/>
  <c r="F123" i="6"/>
  <c r="F124" i="6"/>
  <c r="F125" i="6"/>
  <c r="F126" i="6"/>
  <c r="F127" i="6"/>
  <c r="F128" i="6"/>
  <c r="H130" i="6"/>
  <c r="H128" i="6"/>
  <c r="H127" i="6"/>
  <c r="H126" i="6"/>
  <c r="H125" i="6"/>
  <c r="H124" i="6"/>
  <c r="H123" i="6"/>
  <c r="H122" i="6"/>
  <c r="H121" i="6"/>
  <c r="H120" i="6"/>
  <c r="H119" i="6"/>
  <c r="H118" i="6"/>
  <c r="H117" i="6"/>
  <c r="H116" i="6"/>
  <c r="H115" i="6"/>
  <c r="H113" i="6"/>
  <c r="H112" i="6"/>
  <c r="H110" i="6"/>
  <c r="H109" i="6"/>
  <c r="H108" i="6"/>
  <c r="H107" i="6"/>
  <c r="H106" i="6"/>
  <c r="H105" i="6"/>
  <c r="H104" i="6"/>
  <c r="H103" i="6"/>
  <c r="H102" i="6"/>
  <c r="H101" i="6"/>
  <c r="H100" i="6"/>
  <c r="H99" i="6"/>
  <c r="H98" i="6"/>
  <c r="H97" i="6"/>
  <c r="H95" i="6"/>
  <c r="H94" i="6"/>
  <c r="H93" i="6"/>
  <c r="H92" i="6"/>
  <c r="H91" i="6"/>
  <c r="H90" i="6"/>
  <c r="H89" i="6"/>
  <c r="H88" i="6"/>
  <c r="H87" i="6"/>
  <c r="H86" i="6"/>
  <c r="H85" i="6"/>
  <c r="H84" i="6"/>
  <c r="H83" i="6"/>
  <c r="H82" i="6"/>
  <c r="H81" i="6"/>
  <c r="H80" i="6"/>
  <c r="H79" i="6"/>
  <c r="H78" i="6"/>
  <c r="H77" i="6"/>
  <c r="H76" i="6"/>
  <c r="H75" i="6"/>
  <c r="H74" i="6"/>
  <c r="H73" i="6"/>
  <c r="H72" i="6"/>
  <c r="H71" i="6"/>
  <c r="E68" i="6"/>
  <c r="H69" i="6"/>
  <c r="H68" i="6"/>
  <c r="H66" i="6"/>
  <c r="H64" i="6"/>
  <c r="H63" i="6"/>
  <c r="H62" i="6"/>
  <c r="H61" i="6"/>
  <c r="H60" i="6"/>
  <c r="H59" i="6"/>
  <c r="H58" i="6"/>
  <c r="H56" i="6"/>
  <c r="H55" i="6"/>
  <c r="H53" i="6"/>
  <c r="H52" i="6"/>
  <c r="H51" i="6"/>
  <c r="H50" i="6"/>
  <c r="H49" i="6"/>
  <c r="H48" i="6"/>
  <c r="H45" i="6"/>
  <c r="H43" i="6"/>
  <c r="H42" i="6"/>
  <c r="H41" i="6"/>
  <c r="H40" i="6"/>
  <c r="H39" i="6"/>
  <c r="H38" i="6"/>
  <c r="H35" i="6"/>
  <c r="H34" i="6"/>
  <c r="H32" i="6"/>
  <c r="H31" i="6"/>
  <c r="H30" i="6"/>
  <c r="H28" i="6"/>
  <c r="H27" i="6"/>
  <c r="H25" i="6"/>
  <c r="H24" i="6"/>
  <c r="H23" i="6"/>
  <c r="I23" i="6" s="1"/>
  <c r="H22" i="6"/>
  <c r="H19" i="6"/>
  <c r="H18" i="6"/>
  <c r="H17" i="6"/>
  <c r="H15" i="6"/>
  <c r="A6" i="6"/>
  <c r="I17" i="6" l="1"/>
  <c r="I24" i="6"/>
  <c r="I75" i="6"/>
  <c r="I79" i="6"/>
  <c r="I81" i="6"/>
  <c r="I83" i="6"/>
  <c r="I85" i="6"/>
  <c r="I87" i="6"/>
  <c r="I89" i="6"/>
  <c r="I91" i="6"/>
  <c r="I93" i="6"/>
  <c r="I95" i="6"/>
  <c r="I115" i="6"/>
  <c r="I117" i="6"/>
  <c r="I119" i="6"/>
  <c r="I121" i="6"/>
  <c r="I123" i="6"/>
  <c r="I125" i="6"/>
  <c r="I127" i="6"/>
  <c r="I25" i="6"/>
  <c r="I74" i="6"/>
  <c r="I76" i="6"/>
  <c r="I78" i="6"/>
  <c r="I80" i="6"/>
  <c r="I82" i="6"/>
  <c r="I84" i="6"/>
  <c r="I86" i="6"/>
  <c r="I88" i="6"/>
  <c r="I90" i="6"/>
  <c r="I92" i="6"/>
  <c r="I97" i="6"/>
  <c r="I99" i="6"/>
  <c r="I101" i="6"/>
  <c r="I103" i="6"/>
  <c r="I105" i="6"/>
  <c r="I107" i="6"/>
  <c r="I109" i="6"/>
  <c r="I111" i="6"/>
  <c r="I113" i="6"/>
  <c r="I116" i="6"/>
  <c r="I118" i="6"/>
  <c r="I120" i="6"/>
  <c r="I122" i="6"/>
  <c r="I124" i="6"/>
  <c r="I126" i="6"/>
  <c r="I128" i="6"/>
  <c r="I22" i="6"/>
  <c r="I18" i="6"/>
  <c r="I112" i="6"/>
  <c r="I110" i="6"/>
  <c r="I108" i="6"/>
  <c r="I106" i="6"/>
  <c r="I104" i="6"/>
  <c r="I102" i="6"/>
  <c r="I100" i="6"/>
  <c r="I40" i="6"/>
  <c r="A103" i="6"/>
  <c r="B103" i="6"/>
  <c r="C103" i="6"/>
  <c r="D103" i="6"/>
  <c r="E103" i="6"/>
  <c r="A104" i="6"/>
  <c r="B104" i="6"/>
  <c r="C104" i="6"/>
  <c r="D104" i="6"/>
  <c r="E104" i="6"/>
  <c r="A105" i="6"/>
  <c r="B105" i="6"/>
  <c r="C105" i="6"/>
  <c r="D105" i="6"/>
  <c r="E105" i="6"/>
  <c r="A106" i="6"/>
  <c r="B106" i="6"/>
  <c r="C106" i="6"/>
  <c r="D106" i="6"/>
  <c r="E106" i="6"/>
  <c r="F48" i="21"/>
  <c r="F49" i="21"/>
  <c r="F62" i="21"/>
  <c r="F66" i="6" s="1"/>
  <c r="I66" i="6" s="1"/>
  <c r="A116" i="6"/>
  <c r="B116" i="6"/>
  <c r="C116" i="6"/>
  <c r="D116" i="6"/>
  <c r="E116" i="6"/>
  <c r="A117" i="6"/>
  <c r="B117" i="6"/>
  <c r="C117" i="6"/>
  <c r="D117" i="6"/>
  <c r="E117" i="6"/>
  <c r="A118" i="6"/>
  <c r="B118" i="6"/>
  <c r="C118" i="6"/>
  <c r="D118" i="6"/>
  <c r="E118" i="6"/>
  <c r="A119" i="6"/>
  <c r="B119" i="6"/>
  <c r="C119" i="6"/>
  <c r="D119" i="6"/>
  <c r="E119" i="6"/>
  <c r="A120" i="6"/>
  <c r="B120" i="6"/>
  <c r="C120" i="6"/>
  <c r="D120" i="6"/>
  <c r="E120" i="6"/>
  <c r="A121" i="6"/>
  <c r="B121" i="6"/>
  <c r="C121" i="6"/>
  <c r="D121" i="6"/>
  <c r="E121" i="6"/>
  <c r="A122" i="6"/>
  <c r="B122" i="6"/>
  <c r="C122" i="6"/>
  <c r="D122" i="6"/>
  <c r="E122" i="6"/>
  <c r="A123" i="6"/>
  <c r="B123" i="6"/>
  <c r="C123" i="6"/>
  <c r="D123" i="6"/>
  <c r="E123" i="6"/>
  <c r="A124" i="6"/>
  <c r="B124" i="6"/>
  <c r="C124" i="6"/>
  <c r="D124" i="6"/>
  <c r="E124" i="6"/>
  <c r="A125" i="6"/>
  <c r="B125" i="6"/>
  <c r="C125" i="6"/>
  <c r="D125" i="6"/>
  <c r="E125" i="6"/>
  <c r="A126" i="6"/>
  <c r="B126" i="6"/>
  <c r="C126" i="6"/>
  <c r="D126" i="6"/>
  <c r="E126" i="6"/>
  <c r="A127" i="6"/>
  <c r="B127" i="6"/>
  <c r="C127" i="6"/>
  <c r="D127" i="6"/>
  <c r="E127" i="6"/>
  <c r="A128" i="6"/>
  <c r="B128" i="6"/>
  <c r="C128" i="6"/>
  <c r="D128" i="6"/>
  <c r="E128" i="6"/>
  <c r="E115" i="6"/>
  <c r="I114" i="6" l="1"/>
  <c r="C20" i="7" s="1"/>
  <c r="F53" i="6"/>
  <c r="I53" i="6" s="1"/>
  <c r="F52" i="6"/>
  <c r="I52" i="6" s="1"/>
  <c r="A111" i="6"/>
  <c r="B111" i="6"/>
  <c r="C111" i="6"/>
  <c r="D111" i="6"/>
  <c r="A109" i="6"/>
  <c r="B109" i="6"/>
  <c r="C109" i="6"/>
  <c r="D109" i="6"/>
  <c r="E109" i="6"/>
  <c r="E20" i="7" l="1"/>
  <c r="F20" i="7"/>
  <c r="D20" i="7"/>
  <c r="F94" i="21"/>
  <c r="F98" i="6" s="1"/>
  <c r="I98" i="6" s="1"/>
  <c r="I96" i="6" s="1"/>
  <c r="C18" i="7" l="1"/>
  <c r="F73" i="21"/>
  <c r="F77" i="6" s="1"/>
  <c r="I77" i="6" s="1"/>
  <c r="F69" i="21"/>
  <c r="F73" i="6" s="1"/>
  <c r="I73" i="6" s="1"/>
  <c r="F68" i="21"/>
  <c r="F72" i="6" s="1"/>
  <c r="I72" i="6" s="1"/>
  <c r="F34" i="21"/>
  <c r="F38" i="6" s="1"/>
  <c r="I38" i="6" s="1"/>
  <c r="F64" i="21"/>
  <c r="F68" i="6" s="1"/>
  <c r="I68" i="6" s="1"/>
  <c r="F46" i="21"/>
  <c r="F50" i="6" s="1"/>
  <c r="F59" i="21"/>
  <c r="F63" i="6" s="1"/>
  <c r="I63" i="6" s="1"/>
  <c r="F58" i="21"/>
  <c r="G18" i="7" l="1"/>
  <c r="F18" i="7"/>
  <c r="E18" i="7"/>
  <c r="I50" i="6"/>
  <c r="F62" i="6"/>
  <c r="I62" i="6" s="1"/>
  <c r="F57" i="21"/>
  <c r="F61" i="6" s="1"/>
  <c r="I61" i="6" s="1"/>
  <c r="F56" i="21"/>
  <c r="F60" i="6" s="1"/>
  <c r="I60" i="6" s="1"/>
  <c r="F54" i="21"/>
  <c r="F58" i="6" s="1"/>
  <c r="I58" i="6" s="1"/>
  <c r="F52" i="21"/>
  <c r="F56" i="6" s="1"/>
  <c r="I56" i="6" s="1"/>
  <c r="F39" i="21"/>
  <c r="F43" i="6" s="1"/>
  <c r="I43" i="6" s="1"/>
  <c r="F38" i="21"/>
  <c r="F42" i="6" s="1"/>
  <c r="I42" i="6" s="1"/>
  <c r="F35" i="21"/>
  <c r="F39" i="6" s="1"/>
  <c r="I39" i="6" s="1"/>
  <c r="F31" i="21"/>
  <c r="F35" i="6" s="1"/>
  <c r="I35" i="6" s="1"/>
  <c r="F30" i="21"/>
  <c r="F34" i="6" s="1"/>
  <c r="I34" i="6" s="1"/>
  <c r="F27" i="21"/>
  <c r="F26" i="21"/>
  <c r="F30" i="6" s="1"/>
  <c r="I30" i="6" s="1"/>
  <c r="F28" i="21" l="1"/>
  <c r="F32" i="6" s="1"/>
  <c r="I32" i="6" s="1"/>
  <c r="F31" i="6"/>
  <c r="I31" i="6" s="1"/>
  <c r="F23" i="21"/>
  <c r="F15" i="21" s="1"/>
  <c r="F24" i="21" l="1"/>
  <c r="F28" i="6" s="1"/>
  <c r="I28" i="6" s="1"/>
  <c r="F19" i="6"/>
  <c r="I19" i="6" s="1"/>
  <c r="I16" i="6" s="1"/>
  <c r="F27" i="6"/>
  <c r="I27" i="6" s="1"/>
  <c r="I20" i="6" s="1"/>
  <c r="D30" i="7"/>
  <c r="D29" i="7"/>
  <c r="B30" i="7"/>
  <c r="B29" i="7"/>
  <c r="A15" i="6"/>
  <c r="B15" i="6"/>
  <c r="C15" i="6"/>
  <c r="A16" i="6"/>
  <c r="A11" i="7" s="1"/>
  <c r="A17" i="6"/>
  <c r="B17" i="6"/>
  <c r="C17" i="6"/>
  <c r="A18" i="6"/>
  <c r="B18" i="6"/>
  <c r="C18" i="6"/>
  <c r="A19" i="6"/>
  <c r="B19" i="6"/>
  <c r="C19" i="6"/>
  <c r="A20" i="6"/>
  <c r="A13" i="7" s="1"/>
  <c r="A21" i="6"/>
  <c r="A22" i="6"/>
  <c r="B22" i="6"/>
  <c r="C22" i="6"/>
  <c r="A23" i="6"/>
  <c r="B23" i="6"/>
  <c r="C23" i="6"/>
  <c r="A24" i="6"/>
  <c r="B24" i="6"/>
  <c r="C24" i="6"/>
  <c r="A25" i="6"/>
  <c r="B25" i="6"/>
  <c r="C25" i="6"/>
  <c r="A26" i="6"/>
  <c r="A27" i="6"/>
  <c r="B27" i="6"/>
  <c r="C27" i="6"/>
  <c r="A28" i="6"/>
  <c r="B28" i="6"/>
  <c r="C28" i="6"/>
  <c r="A29" i="6"/>
  <c r="A30" i="6"/>
  <c r="B30" i="6"/>
  <c r="C30" i="6"/>
  <c r="A31" i="6"/>
  <c r="B31" i="6"/>
  <c r="C31" i="6"/>
  <c r="A32" i="6"/>
  <c r="B32" i="6"/>
  <c r="C32" i="6"/>
  <c r="A33" i="6"/>
  <c r="A34" i="6"/>
  <c r="B34" i="6"/>
  <c r="C34" i="6"/>
  <c r="A35" i="6"/>
  <c r="B35" i="6"/>
  <c r="C35" i="6"/>
  <c r="A36" i="6"/>
  <c r="A15" i="7" s="1"/>
  <c r="A37" i="6"/>
  <c r="A38" i="6"/>
  <c r="B38" i="6"/>
  <c r="C38" i="6"/>
  <c r="A39" i="6"/>
  <c r="B39" i="6"/>
  <c r="C39" i="6"/>
  <c r="A40" i="6"/>
  <c r="B40" i="6"/>
  <c r="C40" i="6"/>
  <c r="A41" i="6"/>
  <c r="B41" i="6"/>
  <c r="C41" i="6"/>
  <c r="A42" i="6"/>
  <c r="B42" i="6"/>
  <c r="C42" i="6"/>
  <c r="A43" i="6"/>
  <c r="B43" i="6"/>
  <c r="C43" i="6"/>
  <c r="A44" i="6"/>
  <c r="A45" i="6"/>
  <c r="B45" i="6"/>
  <c r="C45" i="6"/>
  <c r="A54" i="6"/>
  <c r="A55" i="6"/>
  <c r="B55" i="6"/>
  <c r="C55" i="6"/>
  <c r="A57" i="6"/>
  <c r="A58" i="6"/>
  <c r="B58" i="6"/>
  <c r="C58" i="6"/>
  <c r="A59" i="6"/>
  <c r="B59" i="6"/>
  <c r="C59" i="6"/>
  <c r="A60" i="6"/>
  <c r="B60" i="6"/>
  <c r="C60" i="6"/>
  <c r="A61" i="6"/>
  <c r="B61" i="6"/>
  <c r="C61" i="6"/>
  <c r="A62" i="6"/>
  <c r="B62" i="6"/>
  <c r="C62" i="6"/>
  <c r="A63" i="6"/>
  <c r="B63" i="6"/>
  <c r="C63" i="6"/>
  <c r="A64" i="6"/>
  <c r="B64" i="6"/>
  <c r="C64" i="6"/>
  <c r="A66" i="6"/>
  <c r="B66" i="6"/>
  <c r="C66" i="6"/>
  <c r="A67" i="6"/>
  <c r="A68" i="6"/>
  <c r="B68" i="6"/>
  <c r="C68" i="6"/>
  <c r="A69" i="6"/>
  <c r="B69" i="6"/>
  <c r="C69" i="6"/>
  <c r="A70" i="6"/>
  <c r="A71" i="6"/>
  <c r="B71" i="6"/>
  <c r="C71" i="6"/>
  <c r="A72" i="6"/>
  <c r="B72" i="6"/>
  <c r="C72" i="6"/>
  <c r="A73" i="6"/>
  <c r="B73" i="6"/>
  <c r="C73" i="6"/>
  <c r="A74" i="6"/>
  <c r="B74" i="6"/>
  <c r="C74" i="6"/>
  <c r="A75" i="6"/>
  <c r="B75" i="6"/>
  <c r="C75" i="6"/>
  <c r="A76" i="6"/>
  <c r="B76" i="6"/>
  <c r="C76" i="6"/>
  <c r="A77" i="6"/>
  <c r="B77" i="6"/>
  <c r="C77" i="6"/>
  <c r="A78" i="6"/>
  <c r="B78" i="6"/>
  <c r="C78" i="6"/>
  <c r="A79" i="6"/>
  <c r="B79" i="6"/>
  <c r="C79" i="6"/>
  <c r="A80" i="6"/>
  <c r="B80" i="6"/>
  <c r="C80" i="6"/>
  <c r="A81" i="6"/>
  <c r="B81" i="6"/>
  <c r="C81" i="6"/>
  <c r="A82" i="6"/>
  <c r="B82" i="6"/>
  <c r="C82" i="6"/>
  <c r="A83" i="6"/>
  <c r="B83" i="6"/>
  <c r="C83" i="6"/>
  <c r="A84" i="6"/>
  <c r="B84" i="6"/>
  <c r="C84" i="6"/>
  <c r="A85" i="6"/>
  <c r="B85" i="6"/>
  <c r="C85" i="6"/>
  <c r="A86" i="6"/>
  <c r="B86" i="6"/>
  <c r="C86" i="6"/>
  <c r="A87" i="6"/>
  <c r="B87" i="6"/>
  <c r="C87" i="6"/>
  <c r="A88" i="6"/>
  <c r="B88" i="6"/>
  <c r="C88" i="6"/>
  <c r="A89" i="6"/>
  <c r="B89" i="6"/>
  <c r="C89" i="6"/>
  <c r="A90" i="6"/>
  <c r="B90" i="6"/>
  <c r="C90" i="6"/>
  <c r="A91" i="6"/>
  <c r="B91" i="6"/>
  <c r="C91" i="6"/>
  <c r="A92" i="6"/>
  <c r="B92" i="6"/>
  <c r="C92" i="6"/>
  <c r="A93" i="6"/>
  <c r="B93" i="6"/>
  <c r="C93" i="6"/>
  <c r="A94" i="6"/>
  <c r="B94" i="6"/>
  <c r="C94" i="6"/>
  <c r="A95" i="6"/>
  <c r="B95" i="6"/>
  <c r="C95" i="6"/>
  <c r="A96" i="6"/>
  <c r="A17" i="7" s="1"/>
  <c r="A97" i="6"/>
  <c r="B97" i="6"/>
  <c r="C97" i="6"/>
  <c r="A98" i="6"/>
  <c r="B98" i="6"/>
  <c r="C98" i="6"/>
  <c r="A99" i="6"/>
  <c r="B99" i="6"/>
  <c r="C99" i="6"/>
  <c r="A100" i="6"/>
  <c r="B100" i="6"/>
  <c r="C100" i="6"/>
  <c r="A101" i="6"/>
  <c r="B101" i="6"/>
  <c r="C101" i="6"/>
  <c r="A102" i="6"/>
  <c r="B102" i="6"/>
  <c r="C102" i="6"/>
  <c r="A107" i="6"/>
  <c r="B107" i="6"/>
  <c r="C107" i="6"/>
  <c r="A108" i="6"/>
  <c r="B108" i="6"/>
  <c r="C108" i="6"/>
  <c r="A110" i="6"/>
  <c r="B110" i="6"/>
  <c r="C110" i="6"/>
  <c r="A112" i="6"/>
  <c r="B112" i="6"/>
  <c r="C112" i="6"/>
  <c r="A113" i="6"/>
  <c r="B113" i="6"/>
  <c r="C113" i="6"/>
  <c r="A114" i="6"/>
  <c r="A19" i="7" s="1"/>
  <c r="A115" i="6"/>
  <c r="B115" i="6"/>
  <c r="C115" i="6"/>
  <c r="A129" i="6"/>
  <c r="A21" i="7" s="1"/>
  <c r="A130" i="6"/>
  <c r="B130" i="6"/>
  <c r="C130" i="6"/>
  <c r="F126" i="21"/>
  <c r="F130" i="6" s="1"/>
  <c r="I130" i="6" s="1"/>
  <c r="I129" i="6" s="1"/>
  <c r="F90" i="21"/>
  <c r="F94" i="6" s="1"/>
  <c r="I94" i="6" s="1"/>
  <c r="F67" i="21"/>
  <c r="F71" i="6" s="1"/>
  <c r="I71" i="6" s="1"/>
  <c r="F65" i="21"/>
  <c r="F69" i="6" s="1"/>
  <c r="I69" i="6" s="1"/>
  <c r="F60" i="21"/>
  <c r="F64" i="6" s="1"/>
  <c r="I64" i="6" s="1"/>
  <c r="F55" i="21"/>
  <c r="F59" i="6" s="1"/>
  <c r="I59" i="6" s="1"/>
  <c r="F47" i="21"/>
  <c r="F45" i="21"/>
  <c r="F44" i="21"/>
  <c r="F41" i="21"/>
  <c r="F45" i="6" s="1"/>
  <c r="I45" i="6" s="1"/>
  <c r="F37" i="21"/>
  <c r="F11" i="21"/>
  <c r="F15" i="6" s="1"/>
  <c r="I15" i="6" s="1"/>
  <c r="E5" i="6"/>
  <c r="G138" i="6"/>
  <c r="G137" i="6"/>
  <c r="D138" i="6"/>
  <c r="D137" i="6"/>
  <c r="C14" i="7" l="1"/>
  <c r="D14" i="7" s="1"/>
  <c r="E14" i="7" s="1"/>
  <c r="F49" i="6"/>
  <c r="I49" i="6" s="1"/>
  <c r="F48" i="6"/>
  <c r="I48" i="6" s="1"/>
  <c r="F51" i="6"/>
  <c r="I51" i="6" s="1"/>
  <c r="C22" i="7"/>
  <c r="G22" i="7" s="1"/>
  <c r="C12" i="7"/>
  <c r="D12" i="7" s="1"/>
  <c r="F51" i="21"/>
  <c r="F55" i="6" s="1"/>
  <c r="I55" i="6" s="1"/>
  <c r="F41" i="6"/>
  <c r="I41" i="6" s="1"/>
  <c r="D115" i="6"/>
  <c r="D114" i="6"/>
  <c r="B19" i="7" s="1"/>
  <c r="D63" i="6"/>
  <c r="E63" i="6"/>
  <c r="D64" i="6"/>
  <c r="E64" i="6"/>
  <c r="D66" i="6"/>
  <c r="E66" i="6"/>
  <c r="D67" i="6"/>
  <c r="D36" i="6"/>
  <c r="B15" i="7" s="1"/>
  <c r="D37" i="6"/>
  <c r="D38" i="6"/>
  <c r="E38" i="6"/>
  <c r="D39" i="6"/>
  <c r="E39" i="6"/>
  <c r="D27" i="6"/>
  <c r="E27" i="6"/>
  <c r="A13" i="6"/>
  <c r="A9" i="7" s="1"/>
  <c r="D13" i="6"/>
  <c r="B9" i="7" s="1"/>
  <c r="I36" i="6" l="1"/>
  <c r="C16" i="7" s="1"/>
  <c r="D108" i="6"/>
  <c r="E108" i="6"/>
  <c r="D110" i="6"/>
  <c r="E110" i="6"/>
  <c r="D112" i="6"/>
  <c r="E112" i="6"/>
  <c r="D113" i="6"/>
  <c r="E113" i="6"/>
  <c r="F16" i="7" l="1"/>
  <c r="F24" i="7" s="1"/>
  <c r="D16" i="7"/>
  <c r="G16" i="7"/>
  <c r="E16" i="7"/>
  <c r="E24" i="7" s="1"/>
  <c r="D18" i="6"/>
  <c r="D15" i="6" l="1"/>
  <c r="E15" i="6"/>
  <c r="D16" i="6"/>
  <c r="B11" i="7" s="1"/>
  <c r="D17" i="6"/>
  <c r="E17" i="6"/>
  <c r="D19" i="6"/>
  <c r="E19" i="6"/>
  <c r="D20" i="6"/>
  <c r="B13" i="7" s="1"/>
  <c r="D21" i="6"/>
  <c r="E22" i="6"/>
  <c r="D23" i="6"/>
  <c r="D24" i="6"/>
  <c r="E24" i="6"/>
  <c r="D25" i="6"/>
  <c r="E25" i="6"/>
  <c r="D26" i="6"/>
  <c r="D28" i="6"/>
  <c r="D29" i="6"/>
  <c r="D30" i="6"/>
  <c r="E30" i="6"/>
  <c r="D31" i="6"/>
  <c r="E31" i="6"/>
  <c r="D32" i="6"/>
  <c r="E32" i="6"/>
  <c r="D33" i="6"/>
  <c r="D34" i="6"/>
  <c r="E34" i="6"/>
  <c r="D35" i="6"/>
  <c r="E35" i="6"/>
  <c r="D40" i="6"/>
  <c r="D41" i="6"/>
  <c r="E41" i="6"/>
  <c r="D42" i="6"/>
  <c r="E42" i="6"/>
  <c r="D43" i="6"/>
  <c r="E43" i="6"/>
  <c r="D44" i="6"/>
  <c r="D45" i="6"/>
  <c r="E45" i="6"/>
  <c r="D54" i="6"/>
  <c r="D55" i="6"/>
  <c r="E55" i="6"/>
  <c r="D57" i="6"/>
  <c r="D58" i="6"/>
  <c r="E58" i="6"/>
  <c r="D59" i="6"/>
  <c r="E59" i="6"/>
  <c r="D60" i="6"/>
  <c r="E60" i="6"/>
  <c r="D61" i="6"/>
  <c r="E61" i="6"/>
  <c r="D62" i="6"/>
  <c r="E62" i="6"/>
  <c r="D68" i="6"/>
  <c r="D69" i="6"/>
  <c r="E69" i="6"/>
  <c r="D70" i="6"/>
  <c r="D71" i="6"/>
  <c r="E71" i="6"/>
  <c r="D72" i="6"/>
  <c r="E72" i="6"/>
  <c r="D73" i="6"/>
  <c r="E73" i="6"/>
  <c r="D74" i="6"/>
  <c r="E74" i="6"/>
  <c r="D75" i="6"/>
  <c r="E75" i="6"/>
  <c r="D76" i="6"/>
  <c r="E76" i="6"/>
  <c r="D77" i="6"/>
  <c r="E77" i="6"/>
  <c r="D78" i="6"/>
  <c r="D79" i="6"/>
  <c r="E79" i="6"/>
  <c r="D80" i="6"/>
  <c r="E80" i="6"/>
  <c r="D81" i="6"/>
  <c r="E81" i="6"/>
  <c r="D82" i="6"/>
  <c r="E82" i="6"/>
  <c r="D83" i="6"/>
  <c r="E83" i="6"/>
  <c r="D84" i="6"/>
  <c r="E84" i="6"/>
  <c r="D85" i="6"/>
  <c r="E85" i="6"/>
  <c r="D86" i="6"/>
  <c r="E86" i="6"/>
  <c r="D87" i="6"/>
  <c r="E87" i="6"/>
  <c r="D88" i="6"/>
  <c r="E88" i="6"/>
  <c r="D89" i="6"/>
  <c r="E89" i="6"/>
  <c r="D90" i="6"/>
  <c r="E90" i="6"/>
  <c r="D91" i="6"/>
  <c r="E91" i="6"/>
  <c r="D92" i="6"/>
  <c r="E92" i="6"/>
  <c r="D93" i="6"/>
  <c r="E93" i="6"/>
  <c r="D94" i="6"/>
  <c r="E94" i="6"/>
  <c r="D95" i="6"/>
  <c r="E95" i="6"/>
  <c r="D96" i="6"/>
  <c r="B17" i="7" s="1"/>
  <c r="D97" i="6"/>
  <c r="E97" i="6"/>
  <c r="D98" i="6"/>
  <c r="E98" i="6"/>
  <c r="D99" i="6"/>
  <c r="E99" i="6"/>
  <c r="D100" i="6"/>
  <c r="E100" i="6"/>
  <c r="D101" i="6"/>
  <c r="E101" i="6"/>
  <c r="D102" i="6"/>
  <c r="E102" i="6"/>
  <c r="D107" i="6"/>
  <c r="E107" i="6"/>
  <c r="D129" i="6"/>
  <c r="B21" i="7" s="1"/>
  <c r="D130" i="6"/>
  <c r="E130" i="6"/>
  <c r="F14" i="6" l="1"/>
  <c r="I14" i="6" s="1"/>
  <c r="I13" i="6" s="1"/>
  <c r="I131" i="6" s="1"/>
  <c r="A7" i="6"/>
  <c r="A5" i="6"/>
  <c r="A7" i="7"/>
  <c r="H18" i="7" l="1"/>
  <c r="H12" i="7" l="1"/>
  <c r="H20" i="7"/>
  <c r="H22" i="7" l="1"/>
  <c r="H16" i="7"/>
  <c r="H14" i="7"/>
  <c r="E14" i="6" l="1"/>
  <c r="C14" i="6"/>
  <c r="B14" i="6"/>
  <c r="A14" i="6"/>
  <c r="G24" i="7"/>
  <c r="C10" i="7" l="1"/>
  <c r="D6" i="7" l="1"/>
  <c r="D10" i="7"/>
  <c r="C24" i="7"/>
  <c r="D9" i="7" l="1"/>
  <c r="H10" i="7"/>
  <c r="D24" i="7"/>
  <c r="H24" i="7" s="1"/>
  <c r="D11" i="7"/>
  <c r="H11" i="7" s="1"/>
  <c r="C13" i="7"/>
  <c r="C15" i="7"/>
  <c r="E15" i="7"/>
  <c r="G15" i="7"/>
  <c r="C17" i="7"/>
  <c r="F17" i="7"/>
  <c r="D19" i="7"/>
  <c r="F19" i="7"/>
  <c r="C21" i="7"/>
  <c r="C11" i="7"/>
  <c r="D13" i="7"/>
  <c r="D15" i="7"/>
  <c r="F15" i="7"/>
  <c r="E17" i="7"/>
  <c r="G17" i="7"/>
  <c r="C19" i="7"/>
  <c r="E19" i="7"/>
  <c r="G21" i="7"/>
  <c r="H21" i="7" s="1"/>
  <c r="C9" i="7"/>
  <c r="H17" i="7" l="1"/>
  <c r="H15" i="7"/>
  <c r="G23" i="7"/>
  <c r="C23" i="7"/>
  <c r="F23" i="7"/>
  <c r="H19" i="7"/>
  <c r="E13" i="7"/>
  <c r="E23" i="7" s="1"/>
  <c r="D23" i="7"/>
  <c r="H9" i="7"/>
  <c r="H13" i="7" l="1"/>
  <c r="H23" i="7"/>
</calcChain>
</file>

<file path=xl/sharedStrings.xml><?xml version="1.0" encoding="utf-8"?>
<sst xmlns="http://schemas.openxmlformats.org/spreadsheetml/2006/main" count="688" uniqueCount="450">
  <si>
    <t>ITEM</t>
  </si>
  <si>
    <t>DESCRIÇÃO</t>
  </si>
  <si>
    <t>CÓDIGO</t>
  </si>
  <si>
    <t>DIRETA</t>
  </si>
  <si>
    <t>INDIRETA</t>
  </si>
  <si>
    <t>(    )</t>
  </si>
  <si>
    <t>UND.</t>
  </si>
  <si>
    <t>QUANT.</t>
  </si>
  <si>
    <t>TOTAL</t>
  </si>
  <si>
    <t>FONTE</t>
  </si>
  <si>
    <t>4.1</t>
  </si>
  <si>
    <t>1.1</t>
  </si>
  <si>
    <t>2.1</t>
  </si>
  <si>
    <t>3.1</t>
  </si>
  <si>
    <t>(  X  )</t>
  </si>
  <si>
    <t xml:space="preserve">FORMA DE
EXECUÇÃO: </t>
  </si>
  <si>
    <t>UNITÁRIO
 S/ BDI</t>
  </si>
  <si>
    <t>UNITÁRIO
C/ BDI</t>
  </si>
  <si>
    <t>FÓRMULA/MEMÓRIA</t>
  </si>
  <si>
    <t>MÊS 01</t>
  </si>
  <si>
    <t>MÊS 02</t>
  </si>
  <si>
    <t>5.1</t>
  </si>
  <si>
    <t>5.2</t>
  </si>
  <si>
    <t>6.1</t>
  </si>
  <si>
    <t>7.1</t>
  </si>
  <si>
    <t>6.2</t>
  </si>
  <si>
    <t>MÊS 03</t>
  </si>
  <si>
    <t>1.2</t>
  </si>
  <si>
    <t>4.2</t>
  </si>
  <si>
    <t>4.3</t>
  </si>
  <si>
    <t>6.3</t>
  </si>
  <si>
    <t>LOCAÇÃO DA OBRA (GABARITO)</t>
  </si>
  <si>
    <t>m²</t>
  </si>
  <si>
    <t>APILOAMENTO DO FUNDO DE VALAS COM SOQUETE</t>
  </si>
  <si>
    <t>m³</t>
  </si>
  <si>
    <t xml:space="preserve">BDI = </t>
  </si>
  <si>
    <t>3.2</t>
  </si>
  <si>
    <t>___________________________________________________</t>
  </si>
  <si>
    <t>-</t>
  </si>
  <si>
    <t>4.4</t>
  </si>
  <si>
    <t>4.5</t>
  </si>
  <si>
    <t>5.3</t>
  </si>
  <si>
    <t>4.6</t>
  </si>
  <si>
    <t>6.4</t>
  </si>
  <si>
    <t>SEINFRA</t>
  </si>
  <si>
    <t>ED-50979</t>
  </si>
  <si>
    <t>PORTA EM PERFIL E CHAPA METÁLICA</t>
  </si>
  <si>
    <t>ED-49619</t>
  </si>
  <si>
    <t>6.5</t>
  </si>
  <si>
    <t>ED-49812</t>
  </si>
  <si>
    <t>LASTRO DE CONCRETO MAGRO, INCLUSIVE TRANSPORTE, LANÇAMENTO E ADENSAMENTO</t>
  </si>
  <si>
    <t>ED-49228</t>
  </si>
  <si>
    <t>ED-50152</t>
  </si>
  <si>
    <t>ED-50273</t>
  </si>
  <si>
    <t>ED-51107</t>
  </si>
  <si>
    <t>ED-51093</t>
  </si>
  <si>
    <t>ED-49810</t>
  </si>
  <si>
    <t>ED-50668</t>
  </si>
  <si>
    <t>ED-48232</t>
  </si>
  <si>
    <t>ED-49602</t>
  </si>
  <si>
    <t>ED-50727</t>
  </si>
  <si>
    <t>ED-50491</t>
  </si>
  <si>
    <t>ED-50493</t>
  </si>
  <si>
    <t>ED-50330</t>
  </si>
  <si>
    <t>ED-48162</t>
  </si>
  <si>
    <t>ED-48339</t>
  </si>
  <si>
    <t>ED-51151</t>
  </si>
  <si>
    <t>ED-50266</t>
  </si>
  <si>
    <t>FÍSICO/
FINANCEIRO</t>
  </si>
  <si>
    <r>
      <t xml:space="preserve">PREFEITURA MUNICIPAL DE </t>
    </r>
    <r>
      <rPr>
        <b/>
        <sz val="10"/>
        <color rgb="FFFF0000"/>
        <rFont val="Arial"/>
        <family val="2"/>
      </rPr>
      <t>XXXXX</t>
    </r>
  </si>
  <si>
    <r>
      <t xml:space="preserve">LOCAL: </t>
    </r>
    <r>
      <rPr>
        <b/>
        <sz val="10"/>
        <color rgb="FFFF0000"/>
        <rFont val="Arial"/>
        <family val="2"/>
      </rPr>
      <t>RUA/AVENIDA XXXXX, N</t>
    </r>
    <r>
      <rPr>
        <b/>
        <sz val="10"/>
        <color rgb="FFFF0000"/>
        <rFont val="Calibri"/>
        <family val="2"/>
      </rPr>
      <t>º</t>
    </r>
    <r>
      <rPr>
        <b/>
        <sz val="8"/>
        <color rgb="FFFF0000"/>
        <rFont val="Arial"/>
        <family val="2"/>
      </rPr>
      <t xml:space="preserve"> XXX</t>
    </r>
    <r>
      <rPr>
        <b/>
        <sz val="10"/>
        <color rgb="FFFF0000"/>
        <rFont val="Arial"/>
        <family val="2"/>
      </rPr>
      <t>, BAIRRO XXX - CIDADE XXXX, MINAS GERAIS</t>
    </r>
  </si>
  <si>
    <t>MEMÓRIA DE CÁLCULO</t>
  </si>
  <si>
    <r>
      <t>DATA:</t>
    </r>
    <r>
      <rPr>
        <b/>
        <sz val="10"/>
        <color rgb="FFFF0000"/>
        <rFont val="Arial"/>
        <family val="2"/>
      </rPr>
      <t xml:space="preserve"> XX/XX/XXXX</t>
    </r>
  </si>
  <si>
    <t>Nome do profissional responsável</t>
  </si>
  <si>
    <t xml:space="preserve">Engenheiro Civil? Arquiteto? CREA? CAU? nº XXXXXX/D </t>
  </si>
  <si>
    <t>Nome do Prefeito</t>
  </si>
  <si>
    <r>
      <rPr>
        <sz val="8"/>
        <rFont val="Calibri"/>
        <family val="2"/>
        <scheme val="minor"/>
      </rPr>
      <t>Prefeito Municipal</t>
    </r>
    <r>
      <rPr>
        <sz val="8"/>
        <color rgb="FFFF0000"/>
        <rFont val="Calibri"/>
        <family val="2"/>
        <scheme val="minor"/>
      </rPr>
      <t xml:space="preserve"> de XXXX</t>
    </r>
  </si>
  <si>
    <t>PLANILHA ORÇAMENTÁRIA DE CUSTOS</t>
  </si>
  <si>
    <t>CDIGO</t>
  </si>
  <si>
    <t>2.2</t>
  </si>
  <si>
    <t>2.3</t>
  </si>
  <si>
    <t>3.1.1</t>
  </si>
  <si>
    <t>3.1.2</t>
  </si>
  <si>
    <t>3.1.3</t>
  </si>
  <si>
    <t>3.1.4</t>
  </si>
  <si>
    <t>3.2.1</t>
  </si>
  <si>
    <t>3.2.2</t>
  </si>
  <si>
    <t>3.3</t>
  </si>
  <si>
    <t>3.3.1</t>
  </si>
  <si>
    <t>3.3.2</t>
  </si>
  <si>
    <t>3.3.3</t>
  </si>
  <si>
    <t>3.4</t>
  </si>
  <si>
    <t>3.4.1</t>
  </si>
  <si>
    <t>3.4.2</t>
  </si>
  <si>
    <t>4.1.1</t>
  </si>
  <si>
    <t>4.1.2</t>
  </si>
  <si>
    <t>4.1.3</t>
  </si>
  <si>
    <t>4.1.4</t>
  </si>
  <si>
    <t>4.1.5</t>
  </si>
  <si>
    <t>4.1.6</t>
  </si>
  <si>
    <t>4.2.1</t>
  </si>
  <si>
    <t>4.2.2</t>
  </si>
  <si>
    <t>4.2.3</t>
  </si>
  <si>
    <t>4.2.4</t>
  </si>
  <si>
    <t>4.2.5</t>
  </si>
  <si>
    <t>4.3.1</t>
  </si>
  <si>
    <t>4.3.2</t>
  </si>
  <si>
    <t>4.4.1</t>
  </si>
  <si>
    <t>4.4.2</t>
  </si>
  <si>
    <t>4.4.3</t>
  </si>
  <si>
    <t>4.4.4</t>
  </si>
  <si>
    <t>4.4.5</t>
  </si>
  <si>
    <t>4.4.6</t>
  </si>
  <si>
    <t>4.4.7</t>
  </si>
  <si>
    <t>4.4.8</t>
  </si>
  <si>
    <t>4.5.1</t>
  </si>
  <si>
    <t>4.5.2</t>
  </si>
  <si>
    <t>4.6.1</t>
  </si>
  <si>
    <t>4.6.2</t>
  </si>
  <si>
    <t>4.6.3</t>
  </si>
  <si>
    <t>4.6.4</t>
  </si>
  <si>
    <t>4.6.5</t>
  </si>
  <si>
    <t>4.6.6</t>
  </si>
  <si>
    <t>4.6.7</t>
  </si>
  <si>
    <t>4.6.8</t>
  </si>
  <si>
    <t>4.6.9</t>
  </si>
  <si>
    <t>4.6.10</t>
  </si>
  <si>
    <t>4.6.11</t>
  </si>
  <si>
    <t>4.6.12</t>
  </si>
  <si>
    <t>4.6.13</t>
  </si>
  <si>
    <t>4.6.14</t>
  </si>
  <si>
    <t>4.6.15</t>
  </si>
  <si>
    <t>4.6.16</t>
  </si>
  <si>
    <t>4.6.17</t>
  </si>
  <si>
    <t>4.6.18</t>
  </si>
  <si>
    <t>4.6.19</t>
  </si>
  <si>
    <t>4.6.20</t>
  </si>
  <si>
    <t>4.6.21</t>
  </si>
  <si>
    <t>4.6.22</t>
  </si>
  <si>
    <t>4.6.23</t>
  </si>
  <si>
    <t>4.6.24</t>
  </si>
  <si>
    <t>4.6.25</t>
  </si>
  <si>
    <t>5.4</t>
  </si>
  <si>
    <t>5.5</t>
  </si>
  <si>
    <t>5.6</t>
  </si>
  <si>
    <t>5.7</t>
  </si>
  <si>
    <t>5.8</t>
  </si>
  <si>
    <t>5.9</t>
  </si>
  <si>
    <t>5.11</t>
  </si>
  <si>
    <t>5.12</t>
  </si>
  <si>
    <t>5.13</t>
  </si>
  <si>
    <t>5.14</t>
  </si>
  <si>
    <t>5.15</t>
  </si>
  <si>
    <t>5.16</t>
  </si>
  <si>
    <t>5.17</t>
  </si>
  <si>
    <t>5.18</t>
  </si>
  <si>
    <t>6.6</t>
  </si>
  <si>
    <t>6.7</t>
  </si>
  <si>
    <t>6.8</t>
  </si>
  <si>
    <t>6.9</t>
  </si>
  <si>
    <t>6.10</t>
  </si>
  <si>
    <t>6.11</t>
  </si>
  <si>
    <t>6.12</t>
  </si>
  <si>
    <t>6.13</t>
  </si>
  <si>
    <t>6.14</t>
  </si>
  <si>
    <t>ED-51120</t>
  </si>
  <si>
    <t>ED-49787</t>
  </si>
  <si>
    <t>ED-49644</t>
  </si>
  <si>
    <t>ED-48231</t>
  </si>
  <si>
    <t>ED-50762</t>
  </si>
  <si>
    <t>ED-50728</t>
  </si>
  <si>
    <t>ED-50763</t>
  </si>
  <si>
    <t>ED-50542</t>
  </si>
  <si>
    <t>ED-50771</t>
  </si>
  <si>
    <t>ED-9081</t>
  </si>
  <si>
    <t>ED-50451</t>
  </si>
  <si>
    <t>ED-50452</t>
  </si>
  <si>
    <t>ED-48408</t>
  </si>
  <si>
    <t>ED-48425</t>
  </si>
  <si>
    <t>ED-48429</t>
  </si>
  <si>
    <t>ED-50667</t>
  </si>
  <si>
    <t>ED-50678</t>
  </si>
  <si>
    <t>ED-50648</t>
  </si>
  <si>
    <t>ED-50954</t>
  </si>
  <si>
    <t>ED-48235</t>
  </si>
  <si>
    <t>ED-51155</t>
  </si>
  <si>
    <t>ED-48163</t>
  </si>
  <si>
    <t>ED-48167</t>
  </si>
  <si>
    <t>ED-48182</t>
  </si>
  <si>
    <t>ED-48183</t>
  </si>
  <si>
    <t>ED-50281</t>
  </si>
  <si>
    <t>ED-48189</t>
  </si>
  <si>
    <t>ED-50278</t>
  </si>
  <si>
    <t>ED-50326</t>
  </si>
  <si>
    <t>ED-50331</t>
  </si>
  <si>
    <t>ED-50289</t>
  </si>
  <si>
    <t>ED-48169</t>
  </si>
  <si>
    <t>ED-50297</t>
  </si>
  <si>
    <t>ED-49600</t>
  </si>
  <si>
    <t>ED-49603</t>
  </si>
  <si>
    <t>ED-49362</t>
  </si>
  <si>
    <t>ED-49368</t>
  </si>
  <si>
    <t>ED-49530</t>
  </si>
  <si>
    <t>ED-49230</t>
  </si>
  <si>
    <t>ED-49234</t>
  </si>
  <si>
    <t>ED-49498</t>
  </si>
  <si>
    <t>ED-49527</t>
  </si>
  <si>
    <t>ED-49427</t>
  </si>
  <si>
    <t>ED-49844</t>
  </si>
  <si>
    <t>ED-49937</t>
  </si>
  <si>
    <t>ED-49947</t>
  </si>
  <si>
    <t>ED-50009</t>
  </si>
  <si>
    <t>SERVIÇOS PRELIMINARES</t>
  </si>
  <si>
    <t>TRABALHOS EM TERRA</t>
  </si>
  <si>
    <t>ESCAVAÇÃO MANUAL DE VALAS H &lt;= 1,50 M</t>
  </si>
  <si>
    <t>REATERRO MANUAL DE VALA</t>
  </si>
  <si>
    <t>ESTRUTURAS EM CONCRETO ARMADO</t>
  </si>
  <si>
    <t>FUNDAÇÃO - SAPATAS E PILARES DE ARRANQUE</t>
  </si>
  <si>
    <t>FORMA E DESFORMA DE TÁBUA E SARRAFO, REAPROVEITAMENTO (3X) (FUNDAÇÃO)</t>
  </si>
  <si>
    <t>FORNECIMENTO DE CONCRETO ESTRUTURAL, PREPARADO EM OBRA COM BETONEIRA, COM FCK 25MPA ,INCLUSIVE LANÇAMENTO, ADENSAMENTO E ACABAMENTO (FUNDAÇÃO)</t>
  </si>
  <si>
    <t>FUNDAÇÃO - VIGAS BALDRAME</t>
  </si>
  <si>
    <t>FORMA E DESFORMA DE COMPENSADO RESINADO, ESP. 10MM, REAPROVEITAMENTO (3X), EXCLUSIVE ESCORAMENTO</t>
  </si>
  <si>
    <t>FORNECIMENTO DE CONCRETO ESTRUTURAL, PREPARADO EM OBRA, COM FCK 25MPA, INCLUSIVE LANÇAMENTO, ADENSAMENTO E ACABAMENTO</t>
  </si>
  <si>
    <t>VEDAÇÕES, PISOS, COBERTURAS, ESQUADRIAS, ACABAMENTOS E ACESSÓRIOS</t>
  </si>
  <si>
    <t>ALVENARIAS/REVESTIMENTOS</t>
  </si>
  <si>
    <t>CHAPISCO COM ARGAMASSA, TRAÇO 1:3 (CIMENTO E AREIA), ESP. 5MM, APLICADO EM ALVENARIA/ESTRUTURA DE CONCRETO COM COLHER, PREPARO MECÂNICO</t>
  </si>
  <si>
    <t>REVESTIMENTO COM ARGAMASSA EM CAMADA ÚNICA, APLICADO EM PAREDE, TRAÇO 1:3 (CIMENTO E AREIA), ESP. 20MM, APLICAÇÃO MANUAL, PREPARO MECÂNICO</t>
  </si>
  <si>
    <t>CHAPISCO COM ARGAMASSA, TRAÇO 1:3 (CIMENTO E AREIA), ESP. 5MM, APLICADO EM TETO COM COLHER, PREPARO MECÂNICO</t>
  </si>
  <si>
    <t>REVESTIMENTO COM ARGAMASSA EM CAMADA ÚNICA, APLICADO EM TETO, TRAÇO 1:3 (CIMENTO E AREIA), ESP. 20MM, APLICAÇÃO MANUAL, PREPARO MECÂNICO</t>
  </si>
  <si>
    <t>PISOS</t>
  </si>
  <si>
    <t>REVESTIMENTO COM CERÂMICA APLICADO EM PISO, ACABAMENTO ESMALTADO, AMBIENTE INTERNO, PADRÃO EXTRA, DIMENSÃO DA PEÇA ATÉ 2025 CM2, PEI V, ASSENTAMENTO COM ARGAMASSA INDUSTRIALIZADA, INCLUSIVE REJUNTAMENTO</t>
  </si>
  <si>
    <t>RODAPÉ COM REVESTIMENTO EM CERÂMICA ESMALTADA COMERCIAL, ALTURA 10CM, PE IV, ASSENTAMENTO COM ARGAMASSA INDUSTRIALIZADA, INCLUSIVE REJUNTAMENTO</t>
  </si>
  <si>
    <t>M</t>
  </si>
  <si>
    <t>REVESTIMENTO COM CERÂMICA APLICADO EM PAREDE, ACABAMENTO ESMALTADO, AMBIENTE INTERNO/EXTERNO, PADRÃO EXTRA, DIMENSÃO DA PEÇA ATÉ 2025 CM2, PEIIII, ASSENTAMENTO COM ARGAMASSA INDUSTRIALIZADA, INCLUSIVE REJUNTAMENTO</t>
  </si>
  <si>
    <t>PINTURA</t>
  </si>
  <si>
    <t>PINTURA ACRÍLICA EM PAREDE, DUAS(2) DEMÃOS, EXCLUSIVE SELADOR ACRÍLICO E MASSA ACRÍLICA/CORRIDA (PVA)</t>
  </si>
  <si>
    <t>PINTURA ACRÍLICA EM TETO, DUAS (2) DEMÃOS, EXCLUSIVE SELADOR ACRÍLICO E MASSA ACRÍLICA/CORRIDA (PVA)</t>
  </si>
  <si>
    <t>COBERTURA</t>
  </si>
  <si>
    <t>ENGRADAMENTO PARA TELHADO DE FIBROCIMENTO ONDULADA</t>
  </si>
  <si>
    <t>COBERTURA EM TELHA DE FIBROCIMENTO ONDULADA E = 8 MM</t>
  </si>
  <si>
    <t>COBERTURA EM TELHA METÁLICA GALVANIZADA TRAPEZOIDAL, TIPO DUPLA TERMO ACÚSTICA COM DUAS FACES TRAPEZOIDAIS, ESP. 0,43MM, PREENCHIMENTO EM POLIESTIRENO EXPANDIDO/ISOPOR COM ESP. 30MM, ACABAMENTO NATURAL, INCLUSIVE ACESSÓRIOS PARA FIXAÇÃO, FORNECIMENTO E INSTALAÇÃO</t>
  </si>
  <si>
    <t>CHAPIM METÁLICO, COM PINGADEIRA, CHAPA GALVANIZADA Nº24, DESENVOLVIMENTO = 35 CM</t>
  </si>
  <si>
    <t>RUFO E CONTRA-RUFO DE CHAPA GALVANIZADA Nº.24, DESENVOLVIMENTO = 33 CM</t>
  </si>
  <si>
    <t>CALHA DE CHAPA GALVANIZADA Nº.22 GSG,DESENVOLVIMENTO= 33 CM</t>
  </si>
  <si>
    <t>CONDUTOR DE AP DO TELHADO EM TUBO PVC ESGOTO, INCLUSIVE CONEXÕES E SUPORTES, 100 MM</t>
  </si>
  <si>
    <t>SOLEIRAS E PEITORIS</t>
  </si>
  <si>
    <t>ESQUADRIAS E ACESSÓRIOS</t>
  </si>
  <si>
    <t>FORNECIMENTO E ASSENTAMENTO DE JANELA BASCULANTE DE FERRO</t>
  </si>
  <si>
    <t>ELEMENTOS VAZADOS DE VIDRO, 8X10X20CM, TIPO CAPELINHA, JUNTAS DE 15 MM COM ARGAMASSA INDUSTRIALIZADA</t>
  </si>
  <si>
    <t>PINTURA ESMALTE EM ESQUADRIAS DE FERRO, DUAS (2 ) DEMÃOS, INCLUSIVE UMA (1) DEMÃO DE FUNDO ANTICORROSIVO</t>
  </si>
  <si>
    <t>VIDRO COMUM LISO INCOLOR, ESP. 3MM, INCLUSIVE FIXAÇÃO E VEDAÇÃO COM GUARNIÇÃO/GAXETA DE BORRACHA NEOPREME, FORNECIMENTO E INSTALAÇÃO, EXCLUSIVE CAIXILHO/PERFIL</t>
  </si>
  <si>
    <t>BARRA DE APOIO EM AÇO INOX PARA P.N.E. L=90CM (VASO SANITÁRIO)</t>
  </si>
  <si>
    <t>BARRA DE APOIO P.N.E. L = 40 CM (PORTA)</t>
  </si>
  <si>
    <t>BARRA DE APOIO LAVATÓRIO DE CANTO, EM AÇO INOX POLIDO, DIAMETRO MINIMO 3 CM</t>
  </si>
  <si>
    <t>BANCADA EM ARDÓSIA E=3CM, L=55CM, APOIADA EM CONSOLE DE METALON</t>
  </si>
  <si>
    <t>DISPENSER EM PLÁSTICO PARA PAPEL TOALHA 2 OU 3 FOLHAS</t>
  </si>
  <si>
    <t>PAPELEIRA PLASTICA TIPO DISPENSER PARA PAPEL HIGIENICO ROLAO</t>
  </si>
  <si>
    <t>LAVATÓRIO DE LOUÇA BRANCA SEM COLUNA, TAMANHO PEQUENO, INCLUSIVE ACESSÓRIOS DE FIXAÇÃO, VÁLVULA DE ESCOAMENTO DE METAL COM ACABAMENTO CROMADO, SIFÃO DE METAL TIPO COPO COM ACABAMENTO CROMADO, FORNECIMENTO, INSTALAÇÃO E REJUNTAMENTO, EXCLUSIVE TORNEIRA E ENGATE FLEXÍVEL</t>
  </si>
  <si>
    <t>SABONETEIRA PLASTICA TIPO DISPENSER PARA SABONETE LIQUIDO COM RESERVATORIO 1500 ML</t>
  </si>
  <si>
    <t>CUBA EM AÇO INOXIDÁVEL DE EMBUTIR, AISI 304, APLICAÇÃO PARA PIA (560X330X115MM), NÚMERO 2, ASSENTAMENTO EM BANCADA, INCLUSIVE VÁLVULA DE ESCOAMENTO DE METAL COM ACABAMENTO CROMADO, SIFÃO DE METAL TIPO COPO COM ACABAMENTO CROMADO, FORNECIMENTO E INSTALAÇÃO</t>
  </si>
  <si>
    <t>TORNEIRA METÁLICA PARA LAVATÓRIO, ACABAMENTO CROMADO, COM AREJADOR, APLICAÇÃO DE MESA, INCLUSIVE ENGATE FLEXÍVEL METÁLICO, FORNECIMENTO E INSTALAÇÃO</t>
  </si>
  <si>
    <t>TORNEIRA METÁLICA PARA PIA, ACABAMENTO CROMADO, COM AREJADOR, APLICAÇÃO DE PAREDE, INCLUSIVE FORNECIMENTO E INSTALAÇÃO</t>
  </si>
  <si>
    <t>TORNEIRA METÁLICA PARA TANQUE, ACABAMENTO CROMADO, INCLUSIVE ENGATE FLEXÍVEL METÁLICO, FORNECIMENTO E INSTALAÇÃO</t>
  </si>
  <si>
    <t>TANQUE DE LOUÇA BRANCA COM COLUNA, CAPACIDADE 22 LITROS, INCLUSIVE ACESSÓRIOS DE FIXAÇÃO, FORNECIMENTO, INSTALAÇÃO E REJUNTAMENTO, EXCLUSIVE TORNEIRA, VÁLVULA DE ESCOAMENTO E SIFÃO</t>
  </si>
  <si>
    <t>BEBEDOURO GEMINADO MG-F 80 INOX</t>
  </si>
  <si>
    <t>BACIA SANITÁRIA (VASO) DE LOUÇA COM CAIXA ACOPLADA, COR BRANCA, INCLUSIVE ACESSÓRIOS DE FIXAÇÃO/VEDAÇÃO, ENGATE FLEXÍVEL METÁLICO, FORNECIMENTO, INSTALAÇÃO E REJUNTAMENTO</t>
  </si>
  <si>
    <t>ESPELHO COM MOLDURA EM ALUMÍNIO PARA PNE (60 X 90)CM</t>
  </si>
  <si>
    <t>PORTA DE ABRIR, MADEIRA DE LEI PRANCHETA PARA PINTURA COMPLETA 60 X 210 CM, COM FERRAGENS EM FERRO LATONADO</t>
  </si>
  <si>
    <t>PORTA DE ABRIR, MADEIRA DE LEI PRANCHETA PARA PINTURA COMPLETA 80 X 210 CM, COM FERRAGENS EM FERRO LATONADO</t>
  </si>
  <si>
    <t>PORTA DE ABRIR, MADEIRA DE LEI PRANCHETA PARA PINTURA COMPLETA 90 X 210 CM, COM FERRAGENS EM FERRO LATONADO</t>
  </si>
  <si>
    <t>PINTURA ESMALTE EM ESQUADRIA DE MADEIRA, DUAS (2) DEMÃOS, INCLUSIVE UMA (1) DEMÃO DE FUNDO NIVELADOR, EXCLUSIVE MASSA A ÓLEO</t>
  </si>
  <si>
    <t>INSTALAÇÕES ELÉTRICAS</t>
  </si>
  <si>
    <t>INTERRUPTOR DUAS TECLAS SIMPLES 10 A - 250 V</t>
  </si>
  <si>
    <t>INTERRUPTOR TRÊS TECLAS SIMPLES 10 A - 250 V</t>
  </si>
  <si>
    <t>TOMADA SIMPLES - 2P + T - 10A SEM PLACA</t>
  </si>
  <si>
    <t>QUADRO DE DISTRIBUIÇÃO PARA 8 MÓDULOS COM BARRAMENTO E CHAVE</t>
  </si>
  <si>
    <t>PADRÃO CEMIG AÉREO TIPO H1, CARGA INSTALADA ATÉ 5 KW</t>
  </si>
  <si>
    <t>INSTALAÇÕES HIDROSSANITÁRIAS</t>
  </si>
  <si>
    <t>ADAPTADOR SOLDÁVEL DE PVC MARROM COM FLANGES E ANEL PARA CAIXA DÁGUA Ø 20 MM X 1/2"</t>
  </si>
  <si>
    <t>CAIXA DÁGUA DE POLIETILENO COM TAMPA 1500 L</t>
  </si>
  <si>
    <t>HIDRÔMETRO COM CAVALETE E REGISTRO D = 1/2" COPASA</t>
  </si>
  <si>
    <t>CAIXA SIFONADA EM PVC COM GRELHA QUADRADA/REDONDA 150 X 185 X 75 MM</t>
  </si>
  <si>
    <t>LIMPEZA DE OBRA</t>
  </si>
  <si>
    <t>uma unidade</t>
  </si>
  <si>
    <t>6,45 X  6,45 + 3,90 X (10,35 - 1,05) + 3,90 X (6,45 - 1,05) - conforme projeto arquitetônico (desenho 01/07)</t>
  </si>
  <si>
    <t>ED-48298</t>
  </si>
  <si>
    <t>CORTE, DOBRA E MONTAGEM DE AÇO CA-50/60</t>
  </si>
  <si>
    <t>kg</t>
  </si>
  <si>
    <t>(6,05 - 0,30 - 0,10) + 6,05 + (6,05 - 0,15 -0,30) + (6,05 - 0,10 - 0,40 - 0,10) + (6,05 - 0,15) + (6,05 - 0,10 - 0,40) X 0,30 X 0,15 - volume geométrico das vigas baldrame e de ligação da sala de vigília +
+ (3,70 - 0,10 - 0,10) + (3,70 - 0,10) + 3,70 + (3,70 - 0,20) + (5,40 + 3,70 - 0,15 -0,15 - 0,40) X 0,30 X 0,15 - volume geométrico das vigas baldrame e de ligação da sala de descanso e do hall +
+ (((3,90 - 0,15) X 3 UN) + (5,40 - 0,15 - 0,20) + (5,40 - 0,40 - 0,30 - 0,30) + (1,90 X 2) + (1,80 X 3)) X 0,30 X 0,15 - volume geométrico das vigas baldrame e de ligação da circulação, copa, DML e ISs</t>
  </si>
  <si>
    <t>LAJES DE TETO</t>
  </si>
  <si>
    <t>SUPERESTRUTURA - PILARES E VIGAS</t>
  </si>
  <si>
    <t>(((6,45 + 6,05) X 4) + (6,45 X 2)+ (0,15 X 2)) X 0,30 - área de forma das faces laterais das vigas da sala de vigília +
+ ((3,70 X 6) + (3,90 + 3,90 + 9,10)) X 0,30 - área de forma das faces laterais das vigas da sala de descanso e do hall +
+ ((3,70 X 2) + 5,40 + (3,15 X 2) + (1,75 X 2) + (1,80 X 4) + (1,75 X 6) + 1,80 + 1,00 + 2,00) X 0,30 - área de forma das faces laterais das vigas da circulação, copa, DML e ISs
+ ((0,15 + 0,15 + 0,30 + 0,30) X 2,52 de altura X 12 UN) + ((0,15 + 0,15 + 0,40 + 0,40) X 4,15 de altura X 5 UN) - área de forma dos pilares</t>
  </si>
  <si>
    <t>((6,45  X 0,15 X 0,30 X 2 UN + (6,05 X 0,15 X 0,30 X 2 UN) + 6,45 X 0,15 X 0,30 X 1 UN - volume das vigas da sala de vigília +
+ ((3,70 X 0,15 X 0,30) X 4 UN) + (9,10 X 0,15 X 0,30) - volume das vigas da sala de descanso e do hall +
+ ((3,70 X 0,15 X 0,30) X 2 UN) + (5,40 X 0,15 X 0,30) + (5,00 X 0,15 X 0,30) + (1,75 X 0,15 X 0,30 X 2 UN) + (1,80 X 0,15 X 0,30) - volume das vigas da circulação, copa, DML e ISs
+ (0,15 X 0,30 X 2,52 de altura X 12 UN) + (0,15 X 0,40 X 4,15 de altura X 5 UN) - volume dos pilares</t>
  </si>
  <si>
    <t>(4,10 X 9,30) + (4,10 X 5,40) - lajes da sala de descanso e do hall + lajes da circulação, copa, DML e Iss</t>
  </si>
  <si>
    <t>LAJE PRÉ-MOLDADA, A REVESTIR, INCLUSIVE CAPEAMENTO E = 4 CM, SC = 300 KG/M2, L = 4,00 M</t>
  </si>
  <si>
    <t>ED-50260</t>
  </si>
  <si>
    <t>ED-50251</t>
  </si>
  <si>
    <t>ESCORAMENTO PARA LAJE PRÉ MOLDADAS EM TABUAS DE PINHO, INCLUSIVE RETIRADA</t>
  </si>
  <si>
    <t>ALVENARIA DE VEDAÇÃO COM TIJOLO CERÂMICO FURADO, ESP. 9CM, PARA REVESTIMENTO, INCLUSIVE ARGAMASSA PARA ASSENTAMENTO</t>
  </si>
  <si>
    <t>ALVENARIA DE VEDAÇÃO COM TIJOLO CERÂMICO FURADO, ESP. 14CM, PARA REVESTIMENTO, INCLUSIVE ARGAMASSA PARA ASSENTAMENTO</t>
  </si>
  <si>
    <t>(5,05 + 3,70 + 1,75 + 1,75 + 1,80) X 2,58 - alvenaria da circulação, copa, DML e ISs -  
- ((0,90 X 2,10 X 2) + (0,80 X 2,10) + (0,60 X 2,10) + (1,00 X 2,58) + (1,68 X 0,20)) - dedução dos vãos de 2 P4, 1 P3, 1 P5, vão da circulação e tijolos de vidro da IS MASC.</t>
  </si>
  <si>
    <t>mesma área de chapisco das paredes</t>
  </si>
  <si>
    <t>36,60 + 3,15 + 1,75 + 5,67 + 3,41 + 3,15 + 8,88 + 23,31 - áreas dos ambientes internos indicadas no projeto arquitetônico</t>
  </si>
  <si>
    <t>(36,60 + 3,15+ 1,75+ 5,67+ 3,41+ 3,15+ 8,88+ 23,31) X 0,03 - áreas dos ambientes internos indicadas no projeto arquitetônico</t>
  </si>
  <si>
    <t>(1,80 + 1,80 + 1,75 + 1,75 + 1,80 + 1,80 + 1,75 + 1,75) X 1,80 - instalações sanitárias - conforme projeto arquitetônico (desenhos 01/07, 02/07 e 06/07)</t>
  </si>
  <si>
    <t xml:space="preserve">8,88 + 23,31 + 5,67 + 3,15 + 3,15 + 3,41 + 1,75 - áreas dos tetos de laje (sala de descanso, hall, circulação, IS FEM., IS MASC., DML e copa), conforme indicado no projeto arquitetônico. </t>
  </si>
  <si>
    <t>3,70 + 3,70 + 3,70 + 6,05 - conforme projeto arquitetônico</t>
  </si>
  <si>
    <t>6,25 + 6,25 + 10,35 + 3,90 + 3,90 + 3,70 + 5,20 + 3,70 + 5,20 + 3,70 - conforme projeto arquitetônico</t>
  </si>
  <si>
    <t>6,25 + 6,05 + 6,25 + 5,00 + 5,00 + 3,70 + 3,70 + 3,70 + 3,70 + 5,00 + 5,00 + 3,70 -  conforme projeto arquitetônico</t>
  </si>
  <si>
    <t>(6,05 X 3) + 1,15 + 2,60 + 0,10 - sala de vigília conforme projeto arquitetônico +
+ (3,70 X 2) + 2,40 + 1,50 + 0,10 - sala de descanso conforme projeto arquitetônico +
+ 3,70 + 2,60 + 2,70 + 0,30 + 0,90 - hall conforme projeto arquitetônico +
+ 0,80 + 3,30 + 0,10 + 0,80 + 0,25 + 1,00 + 0,10 - circulação conforme projeto arquitetônico +
+ (1,00 X 3) + 1,75 - DML conforme projeto arquitetônico +
+ 1,95 + 1,00 + 1,75 + 1,05 + 0,10 - copa conforme projeto arquitetônico</t>
  </si>
  <si>
    <t>área de chapisco/reboco de paredes deduzidas as áres de azulejo das paredes das Iss</t>
  </si>
  <si>
    <t>(3,70 X 5,00) + (3,70 X 3,70) + (3,70 X 5,00) - conforme projeto arquitetônico</t>
  </si>
  <si>
    <t>(6,05 X 6,75) - engradamento metálico para a cobertura da sala de vigília conforme projeto arquitetônico</t>
  </si>
  <si>
    <t>(3,10 X 4) - tubulação de descida de águas pluviais dos telhados de fibrocimento +
+ (4,00 X 2) - tubulação de descida de águas pluviais do telhado de telhas metálicas</t>
  </si>
  <si>
    <t>((0,28 X 0,25) X 21) + ((1,20 X 0,25) X 2 - peitoris para 21 J1 + 2 J2 conforme projeto arquitetônico</t>
  </si>
  <si>
    <t xml:space="preserve"> ((1,88 X 0,28) X 21) + ((1,20 X 0,60) X 2) - 21 J1 + 2 J2 conforme projeto arquitetônico</t>
  </si>
  <si>
    <t>(((6,10 - 0,30 - 0,20) X ((3,70 - 0,30 + 4,75 - 0,30) / 2)) X 2 UN - ((1,40 X 2,10) + (0,28 X 1,88 X 9) + (0,80 X 2,10)) - alvenarias da sala de vigília deduzidos os vãos das portas e janelas +
+ ((6,45 - 0,30 - 0,30 - 0,40) X (3,70 - 0,30) - (0,28 X 1,88 X 8) - alvenaria da sala de vigília deduzidos os vãos das janelas +
+ ((6,45 - 0,15 - 0,30 - 0,30 - 0,40) X (4,75 - 0,30 - 0,30) - ((0,90 + 2,05 + 2,30) X 0,20)) - alvenaria da sala de vigília deduzidos os vãos dos tijolos de vidro + 
+ ((3,90 - 0,30 - 0,10) + (3,90 - 0,30) + (5,40 - 0,15 - 0,15 - 0,40)) X 2,58) - (0,28 X 1,88 X 4) - alvenarias da sala de descanso e hall deduzidos os vãos das janelas +
+ ((3,90 - 0,15) + (5,40 - 0,30 - 0,30 - 0,40)) X 2,58) - (1,20 X 0,60 X 2) - alvenarias da circulação, copa, DML e ISs deduzidos os vãos das janelas + 
+ (3,90 X 0,90) X 2 UN + (5,00 X 0,90) X 2 UN + (4,90 X 1,95) X 4 - alvenarias das platibandas da sala de descanso, hall, circulação, copa DML e ISs</t>
  </si>
  <si>
    <t xml:space="preserve"> ((0,90 + 2,05 + 2,30) X 0,20)) + (1,68 X 0,20) - área de tijolos de vidro da sala de vigília e da IS MASC. conforme projeto arquitetônico</t>
  </si>
  <si>
    <t>2 na IS FEM + 2 na IS MASC conforme projeto arquitetônico</t>
  </si>
  <si>
    <t>1 na IS FEM + 1 na IS MASC conforme projeto arquitetônico</t>
  </si>
  <si>
    <t>1 na copa conforme projeto arquitetônico</t>
  </si>
  <si>
    <t>1 na pia da copa conforme projeto arquitetônico</t>
  </si>
  <si>
    <t>1 no tanque do DML conforme projeto arquitetônico</t>
  </si>
  <si>
    <t>1 no DML conforme projeto arquitetônico</t>
  </si>
  <si>
    <t>1 na circulação conforme projeto arquitetônico</t>
  </si>
  <si>
    <t>1 no DML - conforme projeto arquitetônico</t>
  </si>
  <si>
    <t>1 na copa + 1 na sala de descanso conforme projeto arquitetônico</t>
  </si>
  <si>
    <t>0,60 X 1,95 - bancada da copa conforme projeto arquitetônico</t>
  </si>
  <si>
    <t>1,40 X 2,10 - porta P2 da sala de vigília conforme projeto arquitetônico + 
+ 3,45 X 2,50 - painel E1 do hall conforme projeto arquitetônico + 
+ 3,70 X 2,50 - porta P1 do hall conforme projeto arquitetônico</t>
  </si>
  <si>
    <t>ED-13354</t>
  </si>
  <si>
    <t>LUMINÁRIA TIPO DROPS COM BASE SUPORTE GALVANIZADA E GLOBO LEITOSO COMPLETA, PARA UMA (1) LÂMPADA LED, POTÊNCIA 15W, BULBO A65, FORNECIMENTO E INSTALAÇÃO, INCLUSIVE BASE E LÂMPADA</t>
  </si>
  <si>
    <t>ED-13345</t>
  </si>
  <si>
    <t>LUMINÁRIA ARANDELA TIPO MEIA-LUA COMPLETA, DIÂMETRO 25 CM, PARA UMA (1) LÂMPADA LED, POTÊNCIA 15W, BULBO A65, FORNECIMENTO E INSTALAÇÃO, INCLUSIVE BASE E LÂMPADA</t>
  </si>
  <si>
    <t>1 no hall</t>
  </si>
  <si>
    <t>10 na sala de vigília</t>
  </si>
  <si>
    <t>2 na sala de descanso + 2 na circulação + 1 no DML + 1 na IS FEM + 1 na IS MASC + 1 na copa + 3 no hall</t>
  </si>
  <si>
    <t xml:space="preserve">1 no DML + 1 na IS FEM + 1 na IS MASC + 1 na copa </t>
  </si>
  <si>
    <t>1 na sala de vigília + 1 na sala de descanso + 1 na circulação</t>
  </si>
  <si>
    <t>6 na sala de vigília + 4 na sala de descanso + 4 no hall + 1 na circulação + 1 no DML + 3 na copa</t>
  </si>
  <si>
    <t>PONTO DE LUZ EMBUTIDO, INCLUINDO ELETRODUTO DE PVC RÍGIDO E CAIXA COM ESPELHO (POR UNIDADE)</t>
  </si>
  <si>
    <t>ED-50228</t>
  </si>
  <si>
    <t>ED-50227</t>
  </si>
  <si>
    <t>PONTO DE INTERRUPTOR, INCLUINDO ELETRODUTO DE PVC RÍGIDO E CAIXA COM ESPELHO</t>
  </si>
  <si>
    <t>ED-50232</t>
  </si>
  <si>
    <t>PONTO DE TOMADA DE EMBUTIR, INCLUINDO ELETRODUTO DE PVC RÍGIDO E CAIXA COM ESPELHO</t>
  </si>
  <si>
    <t>ED-49344</t>
  </si>
  <si>
    <t>INTERRUPTOR, UMA TECLA SIMPLES 10 A - 250 V, SEM PLACA</t>
  </si>
  <si>
    <t>1 no DML + 1 na IS FEM + 1 na IS MASC + 1 na copa + 1 na sala de vigília + 1 na sala de descanso + 1 na circulação + 1 no hall</t>
  </si>
  <si>
    <t>10 na sala de vigília + 2 na sala de descanso + 2 na circulação + 1 no DML + 1 na IS FEM + 1 na IS MASC + 1 na copa + 3 no hall</t>
  </si>
  <si>
    <t>ED-49237</t>
  </si>
  <si>
    <t>DISJUNTOR MONOPOLAR TERMOMAGNÉTICO 5KA, DE 50A</t>
  </si>
  <si>
    <t>para circuitos de iluminação</t>
  </si>
  <si>
    <t>para circuitos de tomadas</t>
  </si>
  <si>
    <t>disjuntor geral do quadro de distribuição de circuitos</t>
  </si>
  <si>
    <t>a instalar para atender à Capela Velório</t>
  </si>
  <si>
    <t>SUPRESSOR DE SURTO PARA PROTEÇÃO PRIMÁRIA EM QGD, ATÉ 1,5 KV - 5 KA</t>
  </si>
  <si>
    <t>1 quadro para atender aos circuitos de iluminação e tomadas</t>
  </si>
  <si>
    <t>a instalar no quadro de distribuição de circuitos</t>
  </si>
  <si>
    <t>a instalar no qaudro de entrada/medição de energia</t>
  </si>
  <si>
    <t>DISJUNTOR MONOPOLAR TERMOMAGNÉTICO 5KA, DE 10A</t>
  </si>
  <si>
    <t>DISJUNTOR MONOPOLAR TERMOMAGNÉTICO 5KA, DE 16A</t>
  </si>
  <si>
    <t>DISJUNTOR MONOPOLAR TERMOMAGNÉTICO 5KA, DE 32A</t>
  </si>
  <si>
    <t>u</t>
  </si>
  <si>
    <t>m</t>
  </si>
  <si>
    <t>a instalar no quadro de distribuição para proteção do circuito de tomadas da copa</t>
  </si>
  <si>
    <t>DISPOSITIVO DE PROTEÇÃO DIFERENCIAL RESIDUAL - DR 25A</t>
  </si>
  <si>
    <t>ED-50221</t>
  </si>
  <si>
    <t>PONTO DE ÁGUA FRIA EMBUTIDO, INCLUINDO TUBO DE PVC RÍGIDO SOLDÁVEL E CONEXÕES</t>
  </si>
  <si>
    <t>a instalar conforme posição indicada no projeto arquitetônico</t>
  </si>
  <si>
    <t xml:space="preserve">a instalar para atender aos lavatórios, vasos sanitários, tanque, pia e bebedouro indicados no projeto arquitetônico </t>
  </si>
  <si>
    <t>1 hidrômetro para a entrada de água da Capela Velório</t>
  </si>
  <si>
    <t>a instalar na saída para distribuição de água fria da caixa d'água</t>
  </si>
  <si>
    <t>ED-50000</t>
  </si>
  <si>
    <t>REGISTRO DE ESFERA, TIPO PVC SOLDÁVEL DN 25MM (3/4"), INCLUSIVE VOLANTE PARA ACIONAMENTO</t>
  </si>
  <si>
    <t>ED-50303</t>
  </si>
  <si>
    <t>TORNEIRA DE BÓIA, TIPO ROSCÁVEL 1/2", EXCLUSIVE ADAPTADOR SOLDÁVEL DE PVC COM FLANGES E ANEL PARA CAIXA DÁGUA</t>
  </si>
  <si>
    <t>a instalar na entrada de água fria da caixa d'água</t>
  </si>
  <si>
    <t>ED-49989</t>
  </si>
  <si>
    <t>REGISTRO DE GAVETA, TIPO BASE, ROSCÁVEL 3/4" (PARA TUBO SOLDÁVEL OU PPR DN 25MM/CPVC DN 22MM), INCLUSIVE ACABAMENTO (PADRÃO MÉDIO) E CANOPLA CROMADO</t>
  </si>
  <si>
    <t>ED-50225</t>
  </si>
  <si>
    <t>PONTO DE ESGOTO, INCLUINDO TUBO DE PVC RÍGIDO SOLDÁVEL DE 100 MM E CONEXÕES (VASO SANITÁRIO)</t>
  </si>
  <si>
    <t>a instalar nas prumadas de água fria da IS MASC., IS FEM. e DML/COPA/Bebedouro</t>
  </si>
  <si>
    <t>ED-50223</t>
  </si>
  <si>
    <t>PONTO DE ESGOTO, INCLUINDO TUBO DE PVC RÍGIDO SOLDÁVEL DE 40 MM E CONEXÕES (LAVATÓRIOS, MICTÓRIOS, RALOS SIFONADOS, ETC.)</t>
  </si>
  <si>
    <t>para os vasos sanitários - 1 na IS MASC. + 1 na IS FEM.</t>
  </si>
  <si>
    <t>ED-50224</t>
  </si>
  <si>
    <t>PONTO DE ESGOTO, INCLUINDO TUBO DE PVC RÍGIDO SOLDÁVEL DE 50 MM E CONEXÕES (PIAS DE COZINHA, MÁQUINAS DE LAVAR, ETC.)</t>
  </si>
  <si>
    <t>para lavatórios e ralos/caixas sifonadas - 2 na IS MASC. + 2 na IS FEM.</t>
  </si>
  <si>
    <t>para tanque, pia e ralos/caixas sifonadas/caixa de gordura - 2 na COPA + 2 no DML</t>
  </si>
  <si>
    <t>ED-49939</t>
  </si>
  <si>
    <t>CAIXA DE GORDURA PRÉ-FABRICADA SIMPLES VOL. 31 LITROS</t>
  </si>
  <si>
    <t>ED-8845</t>
  </si>
  <si>
    <t>FORNECIMENTO E ASSENTAMENTO DE TUBO PVC RÍGIDO, VENTILAÇÃO, PBV - SÉRIE NORMAL, DN 50 MM (2"), INCLUSIVE CONEXÕES</t>
  </si>
  <si>
    <t>para ventilação da rede de esgoto - 6 metros para o trecho da rede da IS MASC./DML/COPA + 4 metros para a IS FEM.</t>
  </si>
  <si>
    <t>1 para a rede de esgoto da pia da COPA</t>
  </si>
  <si>
    <t>1 na IS MASC. + 1 na IS FEM. + 1 no DML + 1 para rede de coleta de água de limpeza do piso da COPA</t>
  </si>
  <si>
    <t>ED-49887</t>
  </si>
  <si>
    <t>CAIXA DE ESGOTO DE INSPEÇÃO/PASSAGEM EM ALVENARIA (60X60X80CM), REVESTIMENTO EM ARGAMASSA COM ADITIVO IMPERMEABILIZANTE, COM TAMPA DE CONCRETO, INCLUSIVE ESCAVAÇÃO, REATERRO E TRANSPORTE E RETIRADA DO MATERIAL ESCAVADO (EM CAÇAMBA)</t>
  </si>
  <si>
    <t>para a rede de esgoto da Capela Velório</t>
  </si>
  <si>
    <t>(6,45 X  6,45( + ((3,90 X (10,35 - 1,05)) + ((3,90 X (6,45 - 1,05)) - conforme projeto arquitetônico</t>
  </si>
  <si>
    <t>LIMPEZA FINAL PARA ENTREGA DA OBRA</t>
  </si>
  <si>
    <t>4.2.6</t>
  </si>
  <si>
    <t>(7,45 + 6,95 + 1,05 +3,9 + ((5,40 + 3,70 + 0,5 ) -2,70) + (3,90 + 5,40 + 0,50) + 3,40 +1,05) X 0,50 - área de piso cimentado no entorno da edificação da Capela Velório</t>
  </si>
  <si>
    <t>ED-51145</t>
  </si>
  <si>
    <t>PASSEIOS DE CONCRETO E = 6 CM, FCK = 10 MPA, JUNTA SECA</t>
  </si>
  <si>
    <t>ED-50563</t>
  </si>
  <si>
    <t>PISO CIMENTADO COM ARGAMASSA, TRAÇO 1:3 (CIMENTO E AREIA), COM ADITIVO IMPERMEABILIZANTE, ESP. 25MM, ACABAMENTO DESEMPENADO E FELTRADO</t>
  </si>
  <si>
    <t>(2,70 X 1,20) - rampa de acesso conforme indicado no projeto arquitetônico</t>
  </si>
  <si>
    <t xml:space="preserve">Adotado BDI "CONSTRUÇÃO DE EDIFÍCIOS" da planilha de preços SEINFRA/REGIÃO XXXX MÊS/ANO SEM? COM? DESONERAÇÃO </t>
  </si>
  <si>
    <t>PRAZO DE EXECUÇÃO: XX MESES</t>
  </si>
  <si>
    <t>volume total de escavação deduzidos os volumes do lastro de concreto magro + o volume do concreto das estruturas de fundação (sapatas + arranques dos pilares + vigas de fundação)</t>
  </si>
  <si>
    <t>ED-49667</t>
  </si>
  <si>
    <t>FORNECIMENTO, FABRICAÇÃO, TRANSPORTE E MONTAGEM DE ESTRUTURA METÁLICA PARA TELHADO DE QUADRA POLI ESPORTIVA EM AÇO SAC-41, PINTADA</t>
  </si>
  <si>
    <t xml:space="preserve">(0,80 X 0,20) - da porta P3 da sala de descanso conforme projeto arquitetônico +
+ (0,80 X 0,15) - da porta P3 da copa conforme projeto arquitetônico +
+ (1,40 X 0,20) - da porta P2 da sala de vigília conforme projeto arquitetônico +
+ (1,00 X 0,15) - do vão de acesso à área de circulação conforme projeto arquitetônico +
+ (3,70 X 0,20) - da porta P1 do hall conforme projeto arquitetônico + 
+ (0,90 X 0,15) X 2 UN - das portas P4 da IS FEM. e IS MASC. conforme projeto arquitetônico +
+ (0,60 X 0,15) - da porta P5 do DML conforme projeto arquitetônico </t>
  </si>
  <si>
    <t>(0,60 X 2,10) X 3 (2 faces/marco/alisares) X 1 porta - no DML conforme projeto arquitetônico + 
+ (0,90 X 2,10) X 3 (2 faces/marco/alisares) X 2 portas - 1 na IS FEM + 1 na IS MASC conforme projeto arquitetônico + 
+ (0,80 X 2,10) X 3 (2 faces/marco/alisares) X 2 portas - 1 na copa + 1 na sala de descanso conforme projeto arquitetônico</t>
  </si>
  <si>
    <t>4.2.7</t>
  </si>
  <si>
    <t>4.4.9</t>
  </si>
  <si>
    <t>ED-49962</t>
  </si>
  <si>
    <t>RALO SEMI- HEMISFÉRICO TIPO ABACAXI D = 100 MM</t>
  </si>
  <si>
    <t>a instalar no topo dos tubos de descida de águas pluviais</t>
  </si>
  <si>
    <t>1,40 X 2,10 X 2 faces - porta P2 da sala de vigília - conforme projeto arquitetônico +
+ 3,45 X 2,50 X 2 faces - painel E1 do hall - conforme projeto arquitetônico +
+ 3,70 X 2,50 X 2 faces - porta P1 do hall - conforme projeto arquitetônico +
 + ((1,88 X 0,28) X 21) + ((1,20 X 0,60) X 2) - 21 J1 + 2 J2 conforme projeto arquitetônico</t>
  </si>
  <si>
    <t>MÊS 04</t>
  </si>
  <si>
    <t>VALOR:</t>
  </si>
  <si>
    <t>CRONOGRAMA FÍSICO-FINANCEIRO</t>
  </si>
  <si>
    <r>
      <t>volume de concreto X 80 kg/m</t>
    </r>
    <r>
      <rPr>
        <sz val="8"/>
        <rFont val="Calibri"/>
        <family val="2"/>
      </rPr>
      <t>³</t>
    </r>
    <r>
      <rPr>
        <sz val="8"/>
        <rFont val="Arial"/>
        <family val="2"/>
      </rPr>
      <t xml:space="preserve"> (taxa de armadura) -  </t>
    </r>
  </si>
  <si>
    <r>
      <t>volume de concreto X 80 kg/m</t>
    </r>
    <r>
      <rPr>
        <sz val="8"/>
        <rFont val="Calibri"/>
        <family val="2"/>
      </rPr>
      <t>³</t>
    </r>
    <r>
      <rPr>
        <sz val="8"/>
        <rFont val="Arial"/>
        <family val="2"/>
      </rPr>
      <t xml:space="preserve"> (taxa de armadura)</t>
    </r>
  </si>
  <si>
    <r>
      <t>((6,10 X ((3,70 + 4,75) / 2)) X 2 UN + (6,45 X 3,70) + (6,45 X 4,75) - (1,40 X 2,10 - 2)) X 2 faces - paredes da sala de vigília (já deduzida a área da porta P2 que excede a 2 m</t>
    </r>
    <r>
      <rPr>
        <sz val="8"/>
        <rFont val="Calibri"/>
        <family val="2"/>
      </rPr>
      <t>²</t>
    </r>
    <r>
      <rPr>
        <sz val="8"/>
        <rFont val="Arial"/>
        <family val="2"/>
      </rPr>
      <t xml:space="preserve"> +
+ (3,90 + 3,90 + 5,40) X 2,58 X 2 faces - paredes da sala de descanso e hall deduzidos os vãos das janelas +
+ (3,90 + 5,40) X 2,58 X 2 faces - paredes da circulação, copa, DML e ISs + 
+ (3,90 X 0,90) X 2 UN + (5,00 X 0,90) X 2 UN + (4,90 X 1,95) X 4 UN X 2 faces- paredes das platibandas da sala de descanso, hall, circulação, copa DML e ISs + 
+ (5,05 + 3,70 + 1,75 + 1,75 + 1,80) X 2,58 X 2 faces - paredes da circulação, copa, DML e ISs</t>
    </r>
  </si>
  <si>
    <t>FORNECIMENTO E COLOCAÇÃO DE PLACA DE OBRA EM CHAPA GALVANIZADA (3,00 X 1,5 0 M) - EM CHAPA GALVANIZADA 0,26 AFIXADAS COM REBITES 540 E PARAFUSOS 3/8, EM ESTRUTURA METÁLICA VIGA U 2" ENRIJECIDA COM METALON 20 X 20, SUPORTE EM EUCALIPTO AUTOCLAVADO PINTADAS</t>
  </si>
  <si>
    <t>FORNECIMENTO DE CONCRETO ESTRUTURAL, PREPARADO EM OBRA COM BETONEIRA, COM FCK 25 MPA, INCLUSIVE LANÇAMENTO, ADENSAMENTO E ACABAMENTO (FUNDAÇÃO)</t>
  </si>
  <si>
    <t>ED-48300</t>
  </si>
  <si>
    <t>ARMADURA DE TELA DE AÇO CA-60 B SOLDADA TIPO Q-92 (DIÂMETRO DO FIO: 4,20 MM / DIMENSÕES DA TRAMA: 150 X 150 MM / TIPO DA MALHA: QUADRANGULAR)</t>
  </si>
  <si>
    <r>
      <t>(36,60 + 3,15 + 1,75 + 5,67 + 3,41 + 3,15 + 8,88 + 23,31) X 1,48 kg/m</t>
    </r>
    <r>
      <rPr>
        <sz val="8"/>
        <rFont val="Calibri"/>
        <family val="2"/>
      </rPr>
      <t>²</t>
    </r>
    <r>
      <rPr>
        <sz val="8"/>
        <rFont val="Arial"/>
        <family val="2"/>
      </rPr>
      <t xml:space="preserve"> - áreas dos ambientes internos indicadas no projeto arquitetônico</t>
    </r>
  </si>
  <si>
    <t>4.2.8</t>
  </si>
  <si>
    <t>4.2.9</t>
  </si>
  <si>
    <t>(36,60 + 3,15+ 1,75+ 5,67+ 3,41+ 3,15+ 8,88+ 23,31) X 0,05 - áreas dos ambientes internos indicadas no projeto arquitetônico</t>
  </si>
  <si>
    <t>FORNECIMENTO DE CONCRETO ESTRUTURAL, PREPARADO EM OBRA COM BETONEIRA, COM FCK 25MPA, INCLUSIVE LANÇAMENTO, ADENSAMENTO E ACABAMENTO (FUNDAÇÃO)</t>
  </si>
  <si>
    <t>0,80 X 0,80 X 1,35 X 17 - volume geométrico inclusive 5cm de lastro das sapatas + 
+ (6,05 - 0,30 - 0,10) + 6,05 + (6,05 - 0,15 -0,30) + (6,05 - 0,10 - 0,40 - 0,10) + (6,05 - 0,15) + (6,05 - 0,10 - 0,40) X 0,35 X 0,15 - volume geométrico inclusive 5cm de lastro das vigas baldrame e de ligação da sala de vigília +
+ (3,70 - 0,10 - 0,10) + (3,70 - 0,10) + 3,70 + (3,70 - 0,20) + (5,40 + 3,70 - 0,15 -0,15 - 0,40) X 0,35 X 0,15 - volume geométrico inclusive 5cm de lastro das vigas baldrame e de ligação da sala de descanso e do hall +
+ (((3,90 - 0,15) X 3 UN) + (5,40 - 0,15 - 0,20) + (5,40 - 0,40 - 0,30 - 0,30) + (1,90 X 2) + (1,80 X 3)) X 0,35 X 0,15 - volume geométrico inclusive 5cm de lastro das vigas baldrame e de ligação da circulação, copa, DML e ISs</t>
  </si>
  <si>
    <t>0,80 X 0,80 X 17 - área do fundo das sapatas + 
+ (6,05 - 0,30 - 0,10) + 6,05 + (6,05 - 0,15 -0,30) + (6,05 - 0,10 - 0,40 - 0,10) + (6,05 - 0,15) + (6,05 - 0,10 - 0,40) X 0,15 - área do fundo das vigas baldrame e de ligação da sala de vigília +
+ (3,70 - 0,10 - 0,10) + (3,70 - 0,10) + 3,70 + (3,70 - 0,20) + (5,40 + 3,70 - 0,15 -0,15 - 0,40) X 0,15 - área do fundo das vigas baldrame e de ligação da sala de descanso e do hall +
+ (((3,90 - 0,15) X 3 UN) + (5,40 - 0,15 - 0,20) + (5,40 - 0,40 - 0,30 - 0,30) + (1,90 X 2) + (1,80 X 3)) X 0,15 - área do fundo das vigas baldrame e de ligação da circulação, copa, DML e ISs</t>
  </si>
  <si>
    <t>0,80 X 0,80 X 17 X 0,05 - a aplicar no fundo das sapatas + 
+ (6,05 - 0,30 - 0,10) + 6,05 + (6,05 - 0,15 -0,30) + (6,05 - 0,10 - 0,40 - 0,10) + (6,05 - 0,15) + (6,05 - 0,10 - 0,40) X 0,15 X 0,05 - a aplicar no fundo das vigas baldrame e de ligação da sala de vigília +
+ (3,70 - 0,10 - 0,10) + (3,70 - 0,10) + 3,70 + (3,70 - 0,20) + (5,40 + 3,70 - 0,15 -0,15 - 0,40) X 0,15 X 0,05 - a aplicar no fundo das vigas baldrame e de ligação da sala de descanso e do hall +
+ (((3,90 - 0,15) X 3 UN) + (5,40 - 0,15 - 0,20) + (5,40 - 0,40 - 0,30 - 0,30) + (1,90 X 2) + (1,80 X 3)) X 0,15 X 0,05 - a aplicar no fundo das vigas baldrame e de ligação da circulação, copa, DML e ISs</t>
  </si>
  <si>
    <t>((0,15 X 0,30 X 12 UN) + (0,15 X 0,40 X 5 UN)) X 0,70 de altura - arranques dos pilares</t>
  </si>
  <si>
    <t>(0,80 X 0,80 X 0,30) X 17 UN - volume das sapatas +
+ ((0,15 X 0,30 X 12 UN) + (0,15 X 0,40 X 5 UN)) X 0,70 de altura - arranques dos pilares</t>
  </si>
  <si>
    <t>ED-51001</t>
  </si>
  <si>
    <t>SOLEIRA DE ARDÓSIA E = 2 CM</t>
  </si>
  <si>
    <t>ED-50993</t>
  </si>
  <si>
    <t>PEITORIL DE ARDÓSIA E = 2 CM</t>
  </si>
  <si>
    <t>ED-50566</t>
  </si>
  <si>
    <t>CONTRAPISO DESEMPENADO COM ARGAMASSA, TRAÇO 1:3 (CIMENTO E AREIA), ESP. 20MM</t>
  </si>
  <si>
    <t>ISS
X,XX%</t>
  </si>
  <si>
    <r>
      <t>REGIÃO/MÊS DE REFERÊNCIA:</t>
    </r>
    <r>
      <rPr>
        <b/>
        <sz val="10"/>
        <color rgb="FFFF0000"/>
        <rFont val="Arial"/>
        <family val="2"/>
      </rPr>
      <t xml:space="preserve"> SEINFRA/REGIÃO XXXX MÊS/ANO SEM? COM? DESONERAÇÃO</t>
    </r>
  </si>
  <si>
    <t xml:space="preserve">OBRA: CONSTRUÇÃO DE CAPELA VELÓRIO - M A-01 (uma sala de vigília)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</si>
</sst>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0.00_);_(* \(#,##0.00\);_(* &quot;-&quot;??_);_(@_)"/>
    <numFmt numFmtId="165" formatCode="&quot;R$&quot;\ #,##0.00"/>
    <numFmt numFmtId="166" formatCode="&quot;R$&quot;\ #,##0.000"/>
  </numFmts>
  <fonts count="39" x14ac:knownFonts="1">
    <font>
      <sz val="10"/>
      <name val="Arial"/>
    </font>
    <font>
      <sz val="11"/>
      <color theme="1"/>
      <name val="Calibri"/>
      <family val="2"/>
      <scheme val="minor"/>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0"/>
      <name val="Arial"/>
      <family val="2"/>
    </font>
    <font>
      <sz val="8"/>
      <name val="Arial"/>
      <family val="2"/>
    </font>
    <font>
      <sz val="8"/>
      <color rgb="FFFF0000"/>
      <name val="Arial"/>
      <family val="2"/>
    </font>
    <font>
      <b/>
      <sz val="8"/>
      <name val="Arial"/>
      <family val="2"/>
    </font>
    <font>
      <b/>
      <sz val="8"/>
      <color rgb="FFFF0000"/>
      <name val="Arial"/>
      <family val="2"/>
    </font>
    <font>
      <sz val="8"/>
      <name val="Calibri"/>
      <family val="2"/>
      <scheme val="minor"/>
    </font>
    <font>
      <b/>
      <sz val="8"/>
      <name val="Calibri"/>
      <family val="2"/>
      <scheme val="minor"/>
    </font>
    <font>
      <sz val="10"/>
      <color rgb="FFFF0000"/>
      <name val="Arial"/>
      <family val="2"/>
    </font>
    <font>
      <b/>
      <sz val="10"/>
      <color rgb="FFFF0000"/>
      <name val="Arial"/>
      <family val="2"/>
    </font>
    <font>
      <b/>
      <sz val="10"/>
      <color rgb="FFFF0000"/>
      <name val="Calibri"/>
      <family val="2"/>
    </font>
    <font>
      <sz val="8"/>
      <color rgb="FFFF0000"/>
      <name val="Calibri"/>
      <family val="2"/>
      <scheme val="minor"/>
    </font>
    <font>
      <b/>
      <sz val="8"/>
      <color rgb="FFFF0000"/>
      <name val="Calibri"/>
      <family val="2"/>
      <scheme val="minor"/>
    </font>
    <font>
      <b/>
      <sz val="8"/>
      <color indexed="8"/>
      <name val="Arial"/>
      <family val="2"/>
    </font>
    <font>
      <sz val="8"/>
      <color indexed="8"/>
      <name val="Arial"/>
      <family val="2"/>
    </font>
    <font>
      <sz val="8"/>
      <color theme="1"/>
      <name val="Arial"/>
      <family val="2"/>
    </font>
    <font>
      <b/>
      <sz val="8"/>
      <color theme="1"/>
      <name val="Arial"/>
      <family val="2"/>
    </font>
    <font>
      <sz val="8"/>
      <color indexed="12"/>
      <name val="Arial"/>
      <family val="2"/>
    </font>
    <font>
      <sz val="7"/>
      <color rgb="FFFF0000"/>
      <name val="Arial"/>
      <family val="2"/>
    </font>
    <font>
      <sz val="8"/>
      <name val="Calibri"/>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5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bottom/>
      <diagonal/>
    </border>
  </borders>
  <cellStyleXfs count="45">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5" fillId="4" borderId="0" applyNumberFormat="0" applyBorder="0" applyAlignment="0" applyProtection="0"/>
    <xf numFmtId="0" fontId="6" fillId="16" borderId="1" applyNumberFormat="0" applyAlignment="0" applyProtection="0"/>
    <xf numFmtId="0" fontId="7" fillId="17" borderId="2" applyNumberFormat="0" applyAlignment="0" applyProtection="0"/>
    <xf numFmtId="0" fontId="8" fillId="0" borderId="3" applyNumberFormat="0" applyFill="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1" borderId="0" applyNumberFormat="0" applyBorder="0" applyAlignment="0" applyProtection="0"/>
    <xf numFmtId="0" fontId="9" fillId="7" borderId="1" applyNumberFormat="0" applyAlignment="0" applyProtection="0"/>
    <xf numFmtId="0" fontId="10" fillId="3" borderId="0" applyNumberFormat="0" applyBorder="0" applyAlignment="0" applyProtection="0"/>
    <xf numFmtId="0" fontId="11" fillId="22" borderId="0" applyNumberFormat="0" applyBorder="0" applyAlignment="0" applyProtection="0"/>
    <xf numFmtId="0" fontId="2" fillId="23" borderId="4" applyNumberFormat="0" applyFont="0" applyAlignment="0" applyProtection="0"/>
    <xf numFmtId="9" fontId="2" fillId="0" borderId="0" applyFont="0" applyFill="0" applyBorder="0" applyAlignment="0" applyProtection="0"/>
    <xf numFmtId="0" fontId="12" fillId="16" borderId="5" applyNumberFormat="0" applyAlignment="0" applyProtection="0"/>
    <xf numFmtId="164" fontId="2"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6" applyNumberFormat="0" applyFill="0" applyAlignment="0" applyProtection="0"/>
    <xf numFmtId="0" fontId="17" fillId="0" borderId="7" applyNumberFormat="0" applyFill="0" applyAlignment="0" applyProtection="0"/>
    <xf numFmtId="0" fontId="18" fillId="0" borderId="8" applyNumberFormat="0" applyFill="0" applyAlignment="0" applyProtection="0"/>
    <xf numFmtId="0" fontId="18" fillId="0" borderId="0" applyNumberFormat="0" applyFill="0" applyBorder="0" applyAlignment="0" applyProtection="0"/>
    <xf numFmtId="0" fontId="19" fillId="0" borderId="9" applyNumberFormat="0" applyFill="0" applyAlignment="0" applyProtection="0"/>
    <xf numFmtId="43" fontId="1" fillId="0" borderId="0" applyFont="0" applyFill="0" applyBorder="0" applyAlignment="0" applyProtection="0"/>
  </cellStyleXfs>
  <cellXfs count="272">
    <xf numFmtId="0" fontId="0" fillId="0" borderId="0" xfId="0"/>
    <xf numFmtId="0" fontId="20" fillId="0" borderId="10" xfId="0" applyFont="1" applyFill="1" applyBorder="1" applyAlignment="1">
      <alignment vertical="center"/>
    </xf>
    <xf numFmtId="0" fontId="20" fillId="0" borderId="13" xfId="0" applyFont="1" applyFill="1" applyBorder="1" applyAlignment="1">
      <alignment vertical="center"/>
    </xf>
    <xf numFmtId="0" fontId="20" fillId="0" borderId="10" xfId="0" applyFont="1" applyFill="1" applyBorder="1" applyAlignment="1">
      <alignment vertical="center" wrapText="1"/>
    </xf>
    <xf numFmtId="49" fontId="2" fillId="0" borderId="0" xfId="0" applyNumberFormat="1" applyFont="1" applyFill="1" applyAlignment="1">
      <alignment horizontal="center" vertical="center"/>
    </xf>
    <xf numFmtId="0" fontId="2" fillId="0" borderId="0" xfId="0" applyFont="1" applyFill="1" applyAlignment="1">
      <alignment horizontal="center" vertical="center"/>
    </xf>
    <xf numFmtId="4" fontId="2" fillId="0" borderId="0" xfId="0" applyNumberFormat="1" applyFont="1" applyFill="1" applyAlignment="1">
      <alignment horizontal="center" vertical="center"/>
    </xf>
    <xf numFmtId="4" fontId="20" fillId="0" borderId="10" xfId="0" applyNumberFormat="1" applyFont="1" applyFill="1" applyBorder="1" applyAlignment="1">
      <alignment horizontal="center" vertical="center" wrapText="1"/>
    </xf>
    <xf numFmtId="0" fontId="2" fillId="0" borderId="12" xfId="0" applyFont="1" applyFill="1" applyBorder="1" applyAlignment="1">
      <alignment vertical="center"/>
    </xf>
    <xf numFmtId="0" fontId="2" fillId="0" borderId="13" xfId="0" applyFont="1" applyFill="1" applyBorder="1" applyAlignment="1">
      <alignment vertical="center"/>
    </xf>
    <xf numFmtId="0" fontId="2" fillId="0" borderId="17" xfId="0" applyFont="1" applyFill="1" applyBorder="1" applyAlignment="1">
      <alignment vertical="center"/>
    </xf>
    <xf numFmtId="49" fontId="20" fillId="0" borderId="12" xfId="0" applyNumberFormat="1" applyFont="1" applyFill="1" applyBorder="1" applyAlignment="1">
      <alignment vertical="center"/>
    </xf>
    <xf numFmtId="0" fontId="20" fillId="0" borderId="13" xfId="0" applyFont="1" applyFill="1" applyBorder="1" applyAlignment="1">
      <alignment vertical="center" wrapText="1"/>
    </xf>
    <xf numFmtId="4" fontId="2" fillId="0" borderId="13" xfId="0" applyNumberFormat="1"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left" vertical="center" wrapText="1"/>
    </xf>
    <xf numFmtId="0" fontId="2" fillId="0" borderId="13" xfId="0" applyFont="1" applyFill="1" applyBorder="1" applyAlignment="1">
      <alignment horizontal="center" vertical="center"/>
    </xf>
    <xf numFmtId="0" fontId="20" fillId="0" borderId="12" xfId="0" applyFont="1" applyFill="1" applyBorder="1" applyAlignment="1">
      <alignment horizontal="left" vertical="center"/>
    </xf>
    <xf numFmtId="0" fontId="20" fillId="0" borderId="0" xfId="0" applyFont="1" applyFill="1" applyBorder="1" applyAlignment="1">
      <alignment vertical="center"/>
    </xf>
    <xf numFmtId="0" fontId="20" fillId="0" borderId="0" xfId="0" applyFont="1" applyFill="1" applyBorder="1" applyAlignment="1">
      <alignment horizontal="left" vertical="center" wrapText="1"/>
    </xf>
    <xf numFmtId="0" fontId="2" fillId="0" borderId="0" xfId="0" applyFont="1" applyFill="1" applyAlignment="1">
      <alignment vertical="center" wrapText="1"/>
    </xf>
    <xf numFmtId="4" fontId="2" fillId="0" borderId="17" xfId="0" applyNumberFormat="1" applyFont="1" applyFill="1" applyBorder="1" applyAlignment="1">
      <alignment horizontal="center" vertical="center"/>
    </xf>
    <xf numFmtId="4" fontId="20" fillId="0" borderId="13" xfId="0" applyNumberFormat="1" applyFont="1" applyFill="1" applyBorder="1" applyAlignment="1">
      <alignment horizontal="center" vertical="center"/>
    </xf>
    <xf numFmtId="49" fontId="2" fillId="0" borderId="16" xfId="0" applyNumberFormat="1" applyFont="1" applyFill="1" applyBorder="1" applyAlignment="1">
      <alignment horizontal="center" vertical="center"/>
    </xf>
    <xf numFmtId="0" fontId="2" fillId="0" borderId="20" xfId="0" applyFont="1" applyFill="1" applyBorder="1" applyAlignment="1">
      <alignment horizontal="center" vertical="center"/>
    </xf>
    <xf numFmtId="0" fontId="2" fillId="0" borderId="20" xfId="0" applyFont="1" applyFill="1" applyBorder="1" applyAlignment="1">
      <alignment horizontal="left" vertical="center" wrapText="1"/>
    </xf>
    <xf numFmtId="0" fontId="20" fillId="0" borderId="19" xfId="0" applyFont="1" applyFill="1" applyBorder="1" applyAlignment="1">
      <alignment vertical="center"/>
    </xf>
    <xf numFmtId="49" fontId="2" fillId="0" borderId="19" xfId="0" applyNumberFormat="1" applyFont="1" applyFill="1" applyBorder="1" applyAlignment="1">
      <alignment horizontal="center" vertical="center"/>
    </xf>
    <xf numFmtId="0" fontId="20" fillId="0" borderId="0" xfId="0" applyFont="1" applyFill="1" applyBorder="1" applyAlignment="1">
      <alignment vertical="center" wrapText="1"/>
    </xf>
    <xf numFmtId="0" fontId="2" fillId="0" borderId="25" xfId="0" applyFont="1" applyFill="1" applyBorder="1" applyAlignment="1">
      <alignment horizontal="center" vertical="center" wrapText="1"/>
    </xf>
    <xf numFmtId="0" fontId="2" fillId="0" borderId="25"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26" xfId="0" applyFont="1" applyFill="1" applyBorder="1" applyAlignment="1">
      <alignment vertical="center" wrapText="1"/>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wrapText="1"/>
    </xf>
    <xf numFmtId="165" fontId="2" fillId="0" borderId="0" xfId="0" applyNumberFormat="1" applyFont="1" applyFill="1" applyBorder="1" applyAlignment="1">
      <alignment horizontal="center" vertical="center" wrapText="1"/>
    </xf>
    <xf numFmtId="165" fontId="20" fillId="0" borderId="0" xfId="0" applyNumberFormat="1" applyFont="1" applyFill="1" applyBorder="1" applyAlignment="1">
      <alignment horizontal="center" vertical="center" wrapText="1"/>
    </xf>
    <xf numFmtId="165" fontId="20" fillId="0" borderId="26" xfId="0" applyNumberFormat="1" applyFont="1" applyFill="1" applyBorder="1" applyAlignment="1">
      <alignment horizontal="center" vertical="center" wrapText="1"/>
    </xf>
    <xf numFmtId="0" fontId="20" fillId="0" borderId="26" xfId="0" applyFont="1" applyFill="1" applyBorder="1" applyAlignment="1">
      <alignment vertical="center"/>
    </xf>
    <xf numFmtId="165" fontId="2" fillId="0" borderId="24" xfId="0" applyNumberFormat="1" applyFont="1" applyFill="1" applyBorder="1" applyAlignment="1">
      <alignment horizontal="center" vertical="center" wrapText="1"/>
    </xf>
    <xf numFmtId="10" fontId="20" fillId="0" borderId="23" xfId="0" applyNumberFormat="1" applyFont="1" applyFill="1" applyBorder="1" applyAlignment="1">
      <alignment horizontal="center" vertical="center" wrapText="1"/>
    </xf>
    <xf numFmtId="165" fontId="20" fillId="0" borderId="24" xfId="0" applyNumberFormat="1" applyFont="1" applyFill="1" applyBorder="1" applyAlignment="1">
      <alignment horizontal="center" vertical="center" wrapText="1"/>
    </xf>
    <xf numFmtId="0" fontId="20" fillId="0" borderId="0" xfId="0" applyFont="1" applyFill="1" applyBorder="1" applyAlignment="1">
      <alignment horizontal="center" vertical="center" wrapText="1"/>
    </xf>
    <xf numFmtId="10" fontId="20" fillId="0" borderId="17" xfId="33" applyNumberFormat="1" applyFont="1" applyFill="1" applyBorder="1" applyAlignment="1">
      <alignment horizontal="left" vertical="center"/>
    </xf>
    <xf numFmtId="10" fontId="2" fillId="0" borderId="23" xfId="0" applyNumberFormat="1" applyFont="1" applyFill="1" applyBorder="1" applyAlignment="1">
      <alignment horizontal="center" vertical="center" wrapText="1"/>
    </xf>
    <xf numFmtId="0" fontId="2" fillId="0" borderId="14" xfId="0" applyFont="1" applyFill="1" applyBorder="1" applyAlignment="1">
      <alignment vertical="center"/>
    </xf>
    <xf numFmtId="0" fontId="2" fillId="0" borderId="25" xfId="0" applyFont="1" applyFill="1" applyBorder="1" applyAlignment="1">
      <alignment vertical="center"/>
    </xf>
    <xf numFmtId="0" fontId="2" fillId="0" borderId="21" xfId="0" applyFont="1" applyFill="1" applyBorder="1" applyAlignment="1">
      <alignment vertical="center"/>
    </xf>
    <xf numFmtId="0" fontId="20" fillId="0" borderId="12" xfId="0" applyFont="1" applyFill="1" applyBorder="1" applyAlignment="1">
      <alignment vertical="center"/>
    </xf>
    <xf numFmtId="0" fontId="20" fillId="0" borderId="17" xfId="0" applyFont="1" applyFill="1" applyBorder="1" applyAlignment="1">
      <alignment vertical="center"/>
    </xf>
    <xf numFmtId="165" fontId="2" fillId="0" borderId="0" xfId="0" applyNumberFormat="1" applyFont="1" applyFill="1" applyAlignment="1">
      <alignment vertical="center"/>
    </xf>
    <xf numFmtId="0" fontId="2" fillId="0" borderId="16" xfId="0" applyFont="1" applyFill="1" applyBorder="1" applyAlignment="1">
      <alignment vertical="center"/>
    </xf>
    <xf numFmtId="0" fontId="2" fillId="0" borderId="20" xfId="0" applyFont="1" applyFill="1" applyBorder="1" applyAlignment="1">
      <alignment vertical="center"/>
    </xf>
    <xf numFmtId="0" fontId="2" fillId="0" borderId="22" xfId="0" applyFont="1" applyFill="1" applyBorder="1" applyAlignment="1">
      <alignment vertical="center"/>
    </xf>
    <xf numFmtId="0" fontId="20" fillId="0" borderId="0" xfId="0" applyFont="1" applyFill="1" applyBorder="1" applyAlignment="1">
      <alignment horizontal="center"/>
    </xf>
    <xf numFmtId="49" fontId="21" fillId="0" borderId="10" xfId="0" applyNumberFormat="1" applyFont="1" applyFill="1" applyBorder="1" applyAlignment="1">
      <alignment horizontal="center" vertical="center" wrapText="1"/>
    </xf>
    <xf numFmtId="0" fontId="20" fillId="0" borderId="13" xfId="0" applyFont="1" applyFill="1" applyBorder="1" applyAlignment="1">
      <alignment horizontal="right" vertical="center"/>
    </xf>
    <xf numFmtId="0" fontId="23" fillId="0" borderId="10" xfId="0" applyFont="1" applyFill="1" applyBorder="1" applyAlignment="1">
      <alignment horizontal="center" vertical="center"/>
    </xf>
    <xf numFmtId="0" fontId="21" fillId="0" borderId="10" xfId="0" applyFont="1" applyFill="1" applyBorder="1" applyAlignment="1">
      <alignment horizontal="center" vertical="center"/>
    </xf>
    <xf numFmtId="2" fontId="21" fillId="0" borderId="10" xfId="0" applyNumberFormat="1" applyFont="1" applyFill="1" applyBorder="1" applyAlignment="1">
      <alignment horizontal="center" vertical="center" wrapText="1"/>
    </xf>
    <xf numFmtId="165" fontId="21" fillId="0" borderId="10" xfId="0" applyNumberFormat="1" applyFont="1" applyFill="1" applyBorder="1" applyAlignment="1">
      <alignment horizontal="center" vertical="center" wrapText="1"/>
    </xf>
    <xf numFmtId="0" fontId="21" fillId="0" borderId="0" xfId="0" applyFont="1" applyFill="1" applyAlignment="1">
      <alignment vertical="center"/>
    </xf>
    <xf numFmtId="0" fontId="22" fillId="0" borderId="0" xfId="0" applyFont="1" applyFill="1" applyAlignment="1">
      <alignment vertical="center"/>
    </xf>
    <xf numFmtId="0" fontId="2" fillId="0" borderId="13" xfId="0" applyFont="1" applyFill="1" applyBorder="1" applyAlignment="1">
      <alignment vertical="center" wrapText="1"/>
    </xf>
    <xf numFmtId="0" fontId="20" fillId="0" borderId="17" xfId="0" applyFont="1" applyFill="1" applyBorder="1" applyAlignment="1">
      <alignment vertical="center" wrapText="1"/>
    </xf>
    <xf numFmtId="4" fontId="20" fillId="0" borderId="13" xfId="0" applyNumberFormat="1" applyFont="1" applyFill="1" applyBorder="1" applyAlignment="1">
      <alignment horizontal="right" vertical="center"/>
    </xf>
    <xf numFmtId="0" fontId="23" fillId="0" borderId="10" xfId="0" applyFont="1" applyFill="1" applyBorder="1" applyAlignment="1">
      <alignment horizontal="center" vertical="center" wrapText="1"/>
    </xf>
    <xf numFmtId="2" fontId="23" fillId="0" borderId="10" xfId="35" applyNumberFormat="1" applyFont="1" applyFill="1" applyBorder="1" applyAlignment="1">
      <alignment horizontal="center" vertical="center" wrapText="1"/>
    </xf>
    <xf numFmtId="2" fontId="23" fillId="0" borderId="10" xfId="0" applyNumberFormat="1" applyFont="1" applyFill="1" applyBorder="1" applyAlignment="1">
      <alignment horizontal="center" vertical="center" wrapText="1"/>
    </xf>
    <xf numFmtId="165" fontId="23" fillId="0" borderId="10" xfId="0" applyNumberFormat="1" applyFont="1" applyFill="1" applyBorder="1" applyAlignment="1">
      <alignment horizontal="center" vertical="center" wrapText="1"/>
    </xf>
    <xf numFmtId="0" fontId="23" fillId="0" borderId="0" xfId="0" applyFont="1" applyFill="1" applyAlignment="1">
      <alignment vertical="center"/>
    </xf>
    <xf numFmtId="4" fontId="20" fillId="0" borderId="0" xfId="0" applyNumberFormat="1" applyFont="1" applyFill="1" applyBorder="1" applyAlignment="1">
      <alignment vertical="center" wrapText="1"/>
    </xf>
    <xf numFmtId="4" fontId="20" fillId="0" borderId="26" xfId="0" applyNumberFormat="1" applyFont="1" applyFill="1" applyBorder="1" applyAlignment="1">
      <alignment vertical="center" wrapText="1"/>
    </xf>
    <xf numFmtId="4" fontId="20" fillId="0" borderId="20" xfId="0" applyNumberFormat="1" applyFont="1" applyFill="1" applyBorder="1" applyAlignment="1">
      <alignment vertical="center" wrapText="1"/>
    </xf>
    <xf numFmtId="4" fontId="20" fillId="0" borderId="22" xfId="0" applyNumberFormat="1" applyFont="1" applyFill="1" applyBorder="1" applyAlignment="1">
      <alignment vertical="center" wrapText="1"/>
    </xf>
    <xf numFmtId="0" fontId="26" fillId="0" borderId="0" xfId="0" applyFont="1" applyFill="1" applyBorder="1" applyAlignment="1">
      <alignment horizontal="center" vertical="center" wrapText="1"/>
    </xf>
    <xf numFmtId="2" fontId="25" fillId="0" borderId="0" xfId="0" applyNumberFormat="1" applyFont="1" applyFill="1" applyBorder="1" applyAlignment="1">
      <alignment horizontal="center" vertical="center"/>
    </xf>
    <xf numFmtId="165" fontId="25" fillId="0" borderId="0" xfId="0" applyNumberFormat="1" applyFont="1" applyFill="1" applyBorder="1" applyAlignment="1">
      <alignment horizontal="center" vertical="center"/>
    </xf>
    <xf numFmtId="0" fontId="2" fillId="0" borderId="0" xfId="0" applyFont="1" applyFill="1" applyAlignment="1">
      <alignment horizontal="center" vertical="center" wrapText="1"/>
    </xf>
    <xf numFmtId="0" fontId="20" fillId="0" borderId="19" xfId="0" applyFont="1" applyFill="1" applyBorder="1" applyAlignment="1">
      <alignment horizontal="center" vertical="center" wrapText="1"/>
    </xf>
    <xf numFmtId="49" fontId="20" fillId="0" borderId="19" xfId="0" applyNumberFormat="1" applyFont="1" applyFill="1" applyBorder="1" applyAlignment="1">
      <alignment vertical="center" wrapText="1"/>
    </xf>
    <xf numFmtId="4" fontId="20" fillId="0" borderId="0" xfId="0" applyNumberFormat="1" applyFont="1" applyFill="1" applyBorder="1" applyAlignment="1">
      <alignment horizontal="center" vertical="center" wrapText="1"/>
    </xf>
    <xf numFmtId="49" fontId="2" fillId="0" borderId="0" xfId="0" applyNumberFormat="1" applyFont="1" applyFill="1" applyAlignment="1">
      <alignment horizontal="center" vertical="center" wrapText="1"/>
    </xf>
    <xf numFmtId="4" fontId="2" fillId="0" borderId="0" xfId="0" applyNumberFormat="1" applyFont="1" applyFill="1" applyAlignment="1">
      <alignment horizontal="center" vertical="center" wrapText="1"/>
    </xf>
    <xf numFmtId="0" fontId="20" fillId="0" borderId="17" xfId="0" applyFont="1" applyFill="1" applyBorder="1" applyAlignment="1">
      <alignment horizontal="left" vertical="center"/>
    </xf>
    <xf numFmtId="0" fontId="20" fillId="0" borderId="13" xfId="0" applyFont="1" applyFill="1" applyBorder="1" applyAlignment="1">
      <alignment horizontal="left" vertical="center"/>
    </xf>
    <xf numFmtId="2" fontId="20" fillId="0" borderId="25" xfId="0" applyNumberFormat="1" applyFont="1" applyFill="1" applyBorder="1" applyAlignment="1">
      <alignment vertical="center" wrapText="1"/>
    </xf>
    <xf numFmtId="2" fontId="20" fillId="0" borderId="21" xfId="0" applyNumberFormat="1" applyFont="1" applyFill="1" applyBorder="1" applyAlignment="1">
      <alignment vertical="center" wrapText="1"/>
    </xf>
    <xf numFmtId="2" fontId="20" fillId="0" borderId="0" xfId="0" applyNumberFormat="1" applyFont="1" applyFill="1" applyBorder="1" applyAlignment="1">
      <alignment vertical="center" wrapText="1"/>
    </xf>
    <xf numFmtId="2" fontId="20" fillId="0" borderId="26" xfId="0" applyNumberFormat="1" applyFont="1" applyFill="1" applyBorder="1" applyAlignment="1">
      <alignment vertical="center" wrapText="1"/>
    </xf>
    <xf numFmtId="2" fontId="20" fillId="0" borderId="20" xfId="0" applyNumberFormat="1" applyFont="1" applyFill="1" applyBorder="1" applyAlignment="1">
      <alignment vertical="center" wrapText="1"/>
    </xf>
    <xf numFmtId="2" fontId="20" fillId="0" borderId="22" xfId="0" applyNumberFormat="1" applyFont="1" applyFill="1" applyBorder="1" applyAlignment="1">
      <alignment vertical="center" wrapText="1"/>
    </xf>
    <xf numFmtId="0" fontId="20" fillId="0" borderId="19" xfId="0" applyFont="1" applyFill="1" applyBorder="1" applyAlignment="1">
      <alignment vertical="center" wrapText="1"/>
    </xf>
    <xf numFmtId="0" fontId="20" fillId="0" borderId="0" xfId="0" applyFont="1" applyFill="1" applyBorder="1" applyAlignment="1">
      <alignment horizontal="left" vertical="center"/>
    </xf>
    <xf numFmtId="0" fontId="20" fillId="0" borderId="10" xfId="0" applyFont="1" applyFill="1" applyBorder="1" applyAlignment="1">
      <alignment horizontal="center" vertical="center" wrapText="1"/>
    </xf>
    <xf numFmtId="0" fontId="2" fillId="0" borderId="25" xfId="0" applyFont="1" applyFill="1" applyBorder="1" applyAlignment="1">
      <alignment horizontal="left" vertical="center"/>
    </xf>
    <xf numFmtId="0" fontId="2" fillId="0" borderId="0" xfId="0" applyFont="1" applyFill="1" applyBorder="1" applyAlignment="1">
      <alignment horizontal="left" vertical="center"/>
    </xf>
    <xf numFmtId="0" fontId="2" fillId="0" borderId="20" xfId="0" applyFont="1" applyFill="1" applyBorder="1" applyAlignment="1">
      <alignment horizontal="left" vertical="center"/>
    </xf>
    <xf numFmtId="0" fontId="2" fillId="0" borderId="0" xfId="0" applyFont="1" applyFill="1" applyAlignment="1">
      <alignment horizontal="left" vertical="center"/>
    </xf>
    <xf numFmtId="49" fontId="23" fillId="0" borderId="10" xfId="0" applyNumberFormat="1" applyFont="1" applyFill="1" applyBorder="1" applyAlignment="1">
      <alignment horizontal="center" vertical="center" wrapText="1"/>
    </xf>
    <xf numFmtId="49" fontId="21" fillId="0" borderId="12" xfId="0" applyNumberFormat="1"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3" xfId="0" applyFont="1" applyFill="1" applyBorder="1" applyAlignment="1">
      <alignment horizontal="left" vertical="center" wrapText="1"/>
    </xf>
    <xf numFmtId="4" fontId="21" fillId="0" borderId="13" xfId="0" applyNumberFormat="1" applyFont="1" applyFill="1" applyBorder="1" applyAlignment="1">
      <alignment horizontal="center" vertical="center" wrapText="1"/>
    </xf>
    <xf numFmtId="0" fontId="21" fillId="0" borderId="17" xfId="0" applyFont="1" applyFill="1" applyBorder="1" applyAlignment="1">
      <alignment horizontal="center" vertical="center" wrapText="1"/>
    </xf>
    <xf numFmtId="0" fontId="21" fillId="0" borderId="0" xfId="0" applyFont="1" applyFill="1" applyAlignment="1">
      <alignment vertical="center" wrapText="1"/>
    </xf>
    <xf numFmtId="49" fontId="21" fillId="0" borderId="10" xfId="0" applyNumberFormat="1" applyFont="1" applyFill="1" applyBorder="1" applyAlignment="1">
      <alignment vertical="center" wrapText="1"/>
    </xf>
    <xf numFmtId="165" fontId="21" fillId="0" borderId="10" xfId="0" applyNumberFormat="1" applyFont="1" applyFill="1" applyBorder="1" applyAlignment="1">
      <alignment horizontal="center" vertical="center"/>
    </xf>
    <xf numFmtId="10" fontId="20" fillId="0" borderId="24" xfId="0" applyNumberFormat="1" applyFont="1" applyFill="1" applyBorder="1" applyAlignment="1">
      <alignment horizontal="center" vertical="center" wrapText="1"/>
    </xf>
    <xf numFmtId="4" fontId="26" fillId="0" borderId="0" xfId="0" applyNumberFormat="1" applyFont="1" applyFill="1" applyBorder="1" applyAlignment="1">
      <alignment vertical="center"/>
    </xf>
    <xf numFmtId="0" fontId="26" fillId="0" borderId="0" xfId="0" applyFont="1" applyFill="1" applyBorder="1" applyAlignment="1">
      <alignment horizontal="center" vertical="center"/>
    </xf>
    <xf numFmtId="0" fontId="25" fillId="0" borderId="0" xfId="0" applyFont="1" applyFill="1" applyBorder="1" applyAlignment="1">
      <alignment horizontal="center" vertical="center"/>
    </xf>
    <xf numFmtId="4" fontId="27" fillId="0" borderId="0" xfId="0" applyNumberFormat="1" applyFont="1" applyFill="1" applyAlignment="1">
      <alignment horizontal="center" vertical="center"/>
    </xf>
    <xf numFmtId="4" fontId="20" fillId="0" borderId="11" xfId="0" applyNumberFormat="1" applyFont="1" applyFill="1" applyBorder="1" applyAlignment="1">
      <alignment horizontal="center" vertical="center"/>
    </xf>
    <xf numFmtId="49" fontId="20" fillId="0" borderId="11" xfId="0" applyNumberFormat="1" applyFont="1" applyFill="1" applyBorder="1" applyAlignment="1">
      <alignment horizontal="center" vertical="center"/>
    </xf>
    <xf numFmtId="0" fontId="20" fillId="0" borderId="11" xfId="0" applyFont="1" applyFill="1" applyBorder="1" applyAlignment="1">
      <alignment horizontal="center" vertical="center"/>
    </xf>
    <xf numFmtId="0" fontId="30" fillId="0" borderId="0" xfId="0" applyFont="1" applyFill="1" applyBorder="1" applyAlignment="1">
      <alignment horizontal="center" vertical="center"/>
    </xf>
    <xf numFmtId="0" fontId="31" fillId="0" borderId="0" xfId="0" applyFont="1" applyFill="1" applyBorder="1" applyAlignment="1">
      <alignment horizontal="center" vertical="center" wrapText="1"/>
    </xf>
    <xf numFmtId="0" fontId="20" fillId="0" borderId="11" xfId="0" applyFont="1" applyFill="1" applyBorder="1" applyAlignment="1">
      <alignment vertical="center" wrapText="1"/>
    </xf>
    <xf numFmtId="0" fontId="21" fillId="0" borderId="36" xfId="0" applyNumberFormat="1" applyFont="1" applyFill="1" applyBorder="1" applyAlignment="1">
      <alignment horizontal="center" vertical="center" wrapText="1"/>
    </xf>
    <xf numFmtId="2" fontId="21" fillId="0" borderId="36" xfId="0" applyNumberFormat="1" applyFont="1" applyFill="1" applyBorder="1" applyAlignment="1">
      <alignment horizontal="center" vertical="center" wrapText="1"/>
    </xf>
    <xf numFmtId="0" fontId="21" fillId="0" borderId="37" xfId="0" applyNumberFormat="1" applyFont="1" applyFill="1" applyBorder="1" applyAlignment="1">
      <alignment horizontal="center" vertical="center" wrapText="1"/>
    </xf>
    <xf numFmtId="0" fontId="21" fillId="0" borderId="29" xfId="0" applyNumberFormat="1" applyFont="1" applyFill="1" applyBorder="1" applyAlignment="1">
      <alignment horizontal="center" vertical="center" wrapText="1"/>
    </xf>
    <xf numFmtId="0" fontId="21" fillId="0" borderId="34" xfId="0" applyNumberFormat="1" applyFont="1" applyFill="1" applyBorder="1" applyAlignment="1">
      <alignment horizontal="center" vertical="center" wrapText="1"/>
    </xf>
    <xf numFmtId="49" fontId="21" fillId="0" borderId="34" xfId="0" applyNumberFormat="1" applyFont="1" applyFill="1" applyBorder="1" applyAlignment="1">
      <alignment horizontal="center" vertical="center" wrapText="1"/>
    </xf>
    <xf numFmtId="49" fontId="21" fillId="0" borderId="36" xfId="0" applyNumberFormat="1" applyFont="1" applyFill="1" applyBorder="1" applyAlignment="1">
      <alignment horizontal="center" vertical="center" wrapText="1"/>
    </xf>
    <xf numFmtId="0" fontId="21" fillId="0" borderId="42" xfId="0" applyNumberFormat="1" applyFont="1" applyFill="1" applyBorder="1" applyAlignment="1">
      <alignment horizontal="center" vertical="center" wrapText="1"/>
    </xf>
    <xf numFmtId="49" fontId="2" fillId="0" borderId="14" xfId="0" applyNumberFormat="1" applyFont="1" applyFill="1" applyBorder="1" applyAlignment="1">
      <alignment horizontal="center" vertical="center"/>
    </xf>
    <xf numFmtId="0" fontId="2" fillId="0" borderId="25" xfId="0" applyFont="1" applyFill="1" applyBorder="1" applyAlignment="1">
      <alignment horizontal="center" vertical="center"/>
    </xf>
    <xf numFmtId="4" fontId="2" fillId="0" borderId="25" xfId="0" applyNumberFormat="1" applyFont="1" applyFill="1" applyBorder="1" applyAlignment="1">
      <alignment horizontal="center" vertical="center"/>
    </xf>
    <xf numFmtId="4" fontId="2" fillId="0" borderId="25" xfId="0" applyNumberFormat="1" applyFont="1" applyFill="1" applyBorder="1" applyAlignment="1">
      <alignment horizontal="center" vertical="center" wrapText="1"/>
    </xf>
    <xf numFmtId="4" fontId="2" fillId="0" borderId="21" xfId="0" applyNumberFormat="1" applyFont="1" applyFill="1" applyBorder="1" applyAlignment="1">
      <alignment horizontal="center" vertical="center" wrapText="1"/>
    </xf>
    <xf numFmtId="165" fontId="26" fillId="0" borderId="10" xfId="0" applyNumberFormat="1" applyFont="1" applyFill="1" applyBorder="1" applyAlignment="1">
      <alignment horizontal="center" vertical="center" wrapText="1"/>
    </xf>
    <xf numFmtId="0" fontId="21" fillId="0" borderId="44" xfId="0" applyNumberFormat="1" applyFont="1" applyFill="1" applyBorder="1" applyAlignment="1">
      <alignment horizontal="center" vertical="center" wrapText="1"/>
    </xf>
    <xf numFmtId="0" fontId="21" fillId="0" borderId="45" xfId="0" applyNumberFormat="1" applyFont="1" applyFill="1" applyBorder="1" applyAlignment="1">
      <alignment horizontal="center" vertical="center" wrapText="1"/>
    </xf>
    <xf numFmtId="49" fontId="25" fillId="0" borderId="29" xfId="0" applyNumberFormat="1" applyFont="1" applyFill="1" applyBorder="1" applyAlignment="1">
      <alignment horizontal="center" vertical="center" wrapText="1"/>
    </xf>
    <xf numFmtId="0" fontId="21" fillId="0" borderId="46" xfId="0" applyNumberFormat="1" applyFont="1" applyFill="1" applyBorder="1" applyAlignment="1">
      <alignment horizontal="center" vertical="center" wrapText="1"/>
    </xf>
    <xf numFmtId="0" fontId="23" fillId="0" borderId="36" xfId="0" applyFont="1" applyFill="1" applyBorder="1" applyAlignment="1">
      <alignment horizontal="center" vertical="center" wrapText="1"/>
    </xf>
    <xf numFmtId="0" fontId="21" fillId="0" borderId="29" xfId="0" applyFont="1" applyFill="1" applyBorder="1" applyAlignment="1">
      <alignment horizontal="center" vertical="center" wrapText="1"/>
    </xf>
    <xf numFmtId="0" fontId="21" fillId="0" borderId="34" xfId="0" applyFont="1" applyFill="1" applyBorder="1" applyAlignment="1">
      <alignment horizontal="center" vertical="center" wrapText="1"/>
    </xf>
    <xf numFmtId="0" fontId="23" fillId="0" borderId="42" xfId="0" applyFont="1" applyFill="1" applyBorder="1" applyAlignment="1">
      <alignment horizontal="center" vertical="center" wrapText="1"/>
    </xf>
    <xf numFmtId="0" fontId="34" fillId="0" borderId="29" xfId="0" applyFont="1" applyFill="1" applyBorder="1" applyAlignment="1">
      <alignment horizontal="center" vertical="center" wrapText="1"/>
    </xf>
    <xf numFmtId="0" fontId="33" fillId="0" borderId="29" xfId="0" applyFont="1" applyFill="1" applyBorder="1" applyAlignment="1">
      <alignment horizontal="center" vertical="center" wrapText="1"/>
    </xf>
    <xf numFmtId="0" fontId="23" fillId="0" borderId="44" xfId="0" applyFont="1" applyFill="1" applyBorder="1" applyAlignment="1">
      <alignment horizontal="center" vertical="center" wrapText="1"/>
    </xf>
    <xf numFmtId="0" fontId="21" fillId="0" borderId="36" xfId="0" applyFont="1" applyFill="1" applyBorder="1" applyAlignment="1">
      <alignment horizontal="center" vertical="center" wrapText="1"/>
    </xf>
    <xf numFmtId="0" fontId="33" fillId="0" borderId="46" xfId="0" applyFont="1" applyFill="1" applyBorder="1" applyAlignment="1">
      <alignment horizontal="center" vertical="center" wrapText="1"/>
    </xf>
    <xf numFmtId="0" fontId="33" fillId="0" borderId="34" xfId="0" applyFont="1" applyFill="1" applyBorder="1" applyAlignment="1">
      <alignment horizontal="center" vertical="center" wrapText="1"/>
    </xf>
    <xf numFmtId="0" fontId="35" fillId="0" borderId="36" xfId="0" applyFont="1" applyFill="1" applyBorder="1" applyAlignment="1">
      <alignment horizontal="center" vertical="center" wrapText="1"/>
    </xf>
    <xf numFmtId="0" fontId="34" fillId="0" borderId="34" xfId="0" applyFont="1" applyFill="1" applyBorder="1" applyAlignment="1">
      <alignment horizontal="center" vertical="center" wrapText="1"/>
    </xf>
    <xf numFmtId="0" fontId="34" fillId="0" borderId="46" xfId="0" applyFont="1" applyFill="1" applyBorder="1" applyAlignment="1">
      <alignment horizontal="center" vertical="center" wrapText="1"/>
    </xf>
    <xf numFmtId="165" fontId="23" fillId="0" borderId="10" xfId="0" applyNumberFormat="1" applyFont="1" applyFill="1" applyBorder="1" applyAlignment="1">
      <alignment horizontal="center" vertical="center"/>
    </xf>
    <xf numFmtId="49" fontId="23" fillId="0" borderId="10" xfId="0" applyNumberFormat="1" applyFont="1" applyFill="1" applyBorder="1" applyAlignment="1">
      <alignment horizontal="center" vertical="center"/>
    </xf>
    <xf numFmtId="0" fontId="20" fillId="0" borderId="28" xfId="0" applyFont="1" applyFill="1" applyBorder="1" applyAlignment="1">
      <alignment horizontal="center" vertical="center"/>
    </xf>
    <xf numFmtId="0" fontId="20" fillId="0" borderId="30" xfId="0" applyFont="1" applyFill="1" applyBorder="1" applyAlignment="1">
      <alignment horizontal="center" vertical="center"/>
    </xf>
    <xf numFmtId="0" fontId="20" fillId="0" borderId="35" xfId="0" applyFont="1" applyFill="1" applyBorder="1" applyAlignment="1">
      <alignment horizontal="center" vertical="center"/>
    </xf>
    <xf numFmtId="0" fontId="28" fillId="0" borderId="10" xfId="0" applyFont="1" applyFill="1" applyBorder="1" applyAlignment="1">
      <alignment horizontal="left" vertical="center"/>
    </xf>
    <xf numFmtId="0" fontId="28" fillId="0" borderId="52" xfId="0" applyFont="1" applyFill="1" applyBorder="1" applyAlignment="1">
      <alignment horizontal="right" vertical="center" wrapText="1"/>
    </xf>
    <xf numFmtId="10" fontId="28" fillId="0" borderId="53" xfId="33" applyNumberFormat="1" applyFont="1" applyFill="1" applyBorder="1" applyAlignment="1">
      <alignment horizontal="left" vertical="center"/>
    </xf>
    <xf numFmtId="0" fontId="20" fillId="0" borderId="11" xfId="0" applyFont="1" applyFill="1" applyBorder="1" applyAlignment="1">
      <alignment horizontal="center" vertical="center" wrapText="1"/>
    </xf>
    <xf numFmtId="166" fontId="21" fillId="0" borderId="0" xfId="0" applyNumberFormat="1" applyFont="1" applyFill="1" applyAlignment="1">
      <alignment horizontal="center" vertical="center"/>
    </xf>
    <xf numFmtId="0" fontId="23" fillId="0" borderId="0" xfId="0" applyFont="1" applyFill="1" applyAlignment="1">
      <alignment horizontal="center" vertical="center"/>
    </xf>
    <xf numFmtId="0" fontId="21" fillId="0" borderId="0" xfId="0" applyFont="1" applyFill="1" applyAlignment="1">
      <alignment horizontal="center" vertical="center"/>
    </xf>
    <xf numFmtId="165" fontId="23" fillId="0" borderId="0" xfId="0" applyNumberFormat="1" applyFont="1" applyFill="1" applyAlignment="1">
      <alignment horizontal="center" vertical="center"/>
    </xf>
    <xf numFmtId="0" fontId="22" fillId="0" borderId="0" xfId="0" applyFont="1" applyFill="1" applyAlignment="1">
      <alignment horizontal="center" vertical="center"/>
    </xf>
    <xf numFmtId="165" fontId="21" fillId="0" borderId="0" xfId="0" applyNumberFormat="1" applyFont="1" applyFill="1" applyAlignment="1">
      <alignment horizontal="center" vertical="center"/>
    </xf>
    <xf numFmtId="165" fontId="20" fillId="0" borderId="13" xfId="0" applyNumberFormat="1" applyFont="1" applyFill="1" applyBorder="1" applyAlignment="1">
      <alignment horizontal="right" vertical="center"/>
    </xf>
    <xf numFmtId="4" fontId="21" fillId="0" borderId="29" xfId="0" applyNumberFormat="1" applyFont="1" applyFill="1" applyBorder="1" applyAlignment="1">
      <alignment horizontal="center" vertical="center" wrapText="1"/>
    </xf>
    <xf numFmtId="4" fontId="21" fillId="0" borderId="30" xfId="0" applyNumberFormat="1" applyFont="1" applyFill="1" applyBorder="1" applyAlignment="1">
      <alignment vertical="center" wrapText="1"/>
    </xf>
    <xf numFmtId="4" fontId="21" fillId="0" borderId="34" xfId="0" applyNumberFormat="1" applyFont="1" applyFill="1" applyBorder="1" applyAlignment="1">
      <alignment horizontal="center" vertical="center" wrapText="1"/>
    </xf>
    <xf numFmtId="4" fontId="21" fillId="0" borderId="35" xfId="0" applyNumberFormat="1" applyFont="1" applyFill="1" applyBorder="1" applyAlignment="1">
      <alignment vertical="center" wrapText="1"/>
    </xf>
    <xf numFmtId="4" fontId="21" fillId="0" borderId="31" xfId="0" applyNumberFormat="1" applyFont="1" applyFill="1" applyBorder="1" applyAlignment="1">
      <alignment horizontal="center" vertical="center" wrapText="1"/>
    </xf>
    <xf numFmtId="4" fontId="21" fillId="0" borderId="32" xfId="0" applyNumberFormat="1" applyFont="1" applyFill="1" applyBorder="1" applyAlignment="1">
      <alignment vertical="center" wrapText="1"/>
    </xf>
    <xf numFmtId="4" fontId="21" fillId="0" borderId="36" xfId="0" applyNumberFormat="1" applyFont="1" applyFill="1" applyBorder="1" applyAlignment="1">
      <alignment horizontal="center" vertical="center" wrapText="1"/>
    </xf>
    <xf numFmtId="4" fontId="21" fillId="0" borderId="37" xfId="0" applyNumberFormat="1" applyFont="1" applyFill="1" applyBorder="1" applyAlignment="1">
      <alignment vertical="center" wrapText="1"/>
    </xf>
    <xf numFmtId="4" fontId="21" fillId="0" borderId="13" xfId="0" applyNumberFormat="1" applyFont="1" applyFill="1" applyBorder="1" applyAlignment="1">
      <alignment horizontal="center" vertical="center"/>
    </xf>
    <xf numFmtId="4" fontId="21" fillId="0" borderId="25" xfId="0" applyNumberFormat="1" applyFont="1" applyFill="1" applyBorder="1" applyAlignment="1">
      <alignment horizontal="center" vertical="center" wrapText="1"/>
    </xf>
    <xf numFmtId="4" fontId="21" fillId="0" borderId="21" xfId="0" applyNumberFormat="1" applyFont="1" applyFill="1" applyBorder="1" applyAlignment="1">
      <alignment vertical="center" wrapText="1"/>
    </xf>
    <xf numFmtId="4" fontId="21" fillId="0" borderId="46" xfId="0" applyNumberFormat="1" applyFont="1" applyFill="1" applyBorder="1" applyAlignment="1">
      <alignment horizontal="center" vertical="center" wrapText="1"/>
    </xf>
    <xf numFmtId="4" fontId="21" fillId="0" borderId="47" xfId="0" applyNumberFormat="1" applyFont="1" applyFill="1" applyBorder="1" applyAlignment="1">
      <alignment vertical="center" wrapText="1"/>
    </xf>
    <xf numFmtId="4" fontId="23" fillId="0" borderId="36" xfId="0" applyNumberFormat="1" applyFont="1" applyFill="1" applyBorder="1" applyAlignment="1">
      <alignment horizontal="center" vertical="center" wrapText="1"/>
    </xf>
    <xf numFmtId="4" fontId="23" fillId="0" borderId="37" xfId="0" applyNumberFormat="1" applyFont="1" applyFill="1" applyBorder="1" applyAlignment="1">
      <alignment vertical="center" wrapText="1"/>
    </xf>
    <xf numFmtId="4" fontId="21" fillId="0" borderId="35" xfId="0" applyNumberFormat="1" applyFont="1" applyFill="1" applyBorder="1" applyAlignment="1">
      <alignment horizontal="left" vertical="center" wrapText="1"/>
    </xf>
    <xf numFmtId="0" fontId="34" fillId="0" borderId="40" xfId="0" applyFont="1" applyFill="1" applyBorder="1" applyAlignment="1">
      <alignment horizontal="left" vertical="center" wrapText="1"/>
    </xf>
    <xf numFmtId="0" fontId="21" fillId="0" borderId="40" xfId="0" applyFont="1" applyFill="1" applyBorder="1" applyAlignment="1">
      <alignment horizontal="left" vertical="center" wrapText="1"/>
    </xf>
    <xf numFmtId="0" fontId="21" fillId="0" borderId="29" xfId="35" applyNumberFormat="1" applyFont="1" applyFill="1" applyBorder="1" applyAlignment="1">
      <alignment horizontal="center" vertical="center" wrapText="1"/>
    </xf>
    <xf numFmtId="2" fontId="21" fillId="0" borderId="29" xfId="35" applyNumberFormat="1" applyFont="1" applyFill="1" applyBorder="1" applyAlignment="1">
      <alignment horizontal="center" vertical="center" wrapText="1"/>
    </xf>
    <xf numFmtId="0" fontId="21" fillId="0" borderId="36" xfId="35" applyNumberFormat="1" applyFont="1" applyFill="1" applyBorder="1" applyAlignment="1">
      <alignment horizontal="center" vertical="center" wrapText="1"/>
    </xf>
    <xf numFmtId="0" fontId="21" fillId="0" borderId="41" xfId="0" applyFont="1" applyFill="1" applyBorder="1" applyAlignment="1">
      <alignment horizontal="left" vertical="center" wrapText="1"/>
    </xf>
    <xf numFmtId="0" fontId="21" fillId="0" borderId="34" xfId="35" applyNumberFormat="1" applyFont="1" applyFill="1" applyBorder="1" applyAlignment="1">
      <alignment horizontal="center" vertical="center" wrapText="1"/>
    </xf>
    <xf numFmtId="0" fontId="20" fillId="0" borderId="19" xfId="0" applyFont="1" applyFill="1" applyBorder="1" applyAlignment="1">
      <alignment horizontal="center" vertical="center"/>
    </xf>
    <xf numFmtId="0" fontId="20"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17" xfId="0" applyFont="1" applyFill="1" applyBorder="1" applyAlignment="1">
      <alignment horizontal="center" vertical="center"/>
    </xf>
    <xf numFmtId="0" fontId="2" fillId="0" borderId="1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8" fillId="0" borderId="38" xfId="0" applyFont="1" applyFill="1" applyBorder="1" applyAlignment="1">
      <alignment horizontal="center" vertical="center"/>
    </xf>
    <xf numFmtId="49" fontId="23" fillId="0" borderId="10" xfId="0" applyNumberFormat="1" applyFont="1" applyFill="1" applyBorder="1" applyAlignment="1">
      <alignment vertical="center"/>
    </xf>
    <xf numFmtId="2" fontId="21" fillId="0" borderId="0" xfId="0" applyNumberFormat="1" applyFont="1" applyFill="1" applyBorder="1" applyAlignment="1">
      <alignment horizontal="center" vertical="center"/>
    </xf>
    <xf numFmtId="0" fontId="25" fillId="0" borderId="26" xfId="0" applyFont="1" applyFill="1" applyBorder="1" applyAlignment="1">
      <alignment horizontal="center" vertical="center"/>
    </xf>
    <xf numFmtId="0" fontId="31" fillId="0" borderId="26" xfId="0" applyFont="1" applyFill="1" applyBorder="1" applyAlignment="1">
      <alignment horizontal="center" vertical="center"/>
    </xf>
    <xf numFmtId="0" fontId="30" fillId="0" borderId="26" xfId="0" applyFont="1" applyFill="1" applyBorder="1" applyAlignment="1">
      <alignment horizontal="center" vertical="center"/>
    </xf>
    <xf numFmtId="0" fontId="23" fillId="0" borderId="39" xfId="0" applyFont="1" applyFill="1" applyBorder="1" applyAlignment="1">
      <alignment horizontal="left" vertical="center"/>
    </xf>
    <xf numFmtId="0" fontId="35" fillId="0" borderId="27" xfId="0" applyFont="1" applyFill="1" applyBorder="1" applyAlignment="1">
      <alignment horizontal="center" vertical="center" wrapText="1"/>
    </xf>
    <xf numFmtId="0" fontId="32" fillId="0" borderId="39" xfId="0" applyFont="1" applyFill="1" applyBorder="1" applyAlignment="1">
      <alignment horizontal="left" vertical="center"/>
    </xf>
    <xf numFmtId="0" fontId="33" fillId="0" borderId="36" xfId="35" applyNumberFormat="1" applyFont="1" applyFill="1" applyBorder="1" applyAlignment="1">
      <alignment horizontal="center" vertical="center" wrapText="1"/>
    </xf>
    <xf numFmtId="0" fontId="34" fillId="0" borderId="28" xfId="0" applyFont="1" applyFill="1" applyBorder="1" applyAlignment="1">
      <alignment horizontal="center" vertical="center" wrapText="1"/>
    </xf>
    <xf numFmtId="0" fontId="33" fillId="0" borderId="40" xfId="0" applyFont="1" applyFill="1" applyBorder="1" applyAlignment="1">
      <alignment horizontal="left" vertical="center" wrapText="1"/>
    </xf>
    <xf numFmtId="0" fontId="33" fillId="0" borderId="29" xfId="35" applyNumberFormat="1" applyFont="1" applyFill="1" applyBorder="1" applyAlignment="1">
      <alignment horizontal="center" vertical="center" wrapText="1"/>
    </xf>
    <xf numFmtId="4" fontId="33" fillId="0" borderId="30" xfId="0" applyNumberFormat="1" applyFont="1" applyFill="1" applyBorder="1" applyAlignment="1">
      <alignment vertical="center" wrapText="1"/>
    </xf>
    <xf numFmtId="0" fontId="34" fillId="0" borderId="38" xfId="0" applyFont="1" applyFill="1" applyBorder="1" applyAlignment="1">
      <alignment horizontal="center" vertical="center" wrapText="1"/>
    </xf>
    <xf numFmtId="0" fontId="33" fillId="0" borderId="41" xfId="0" applyFont="1" applyFill="1" applyBorder="1" applyAlignment="1">
      <alignment horizontal="left" vertical="center" wrapText="1"/>
    </xf>
    <xf numFmtId="0" fontId="33" fillId="0" borderId="34" xfId="35" applyNumberFormat="1" applyFont="1" applyFill="1" applyBorder="1" applyAlignment="1">
      <alignment horizontal="center" vertical="center" wrapText="1"/>
    </xf>
    <xf numFmtId="4" fontId="33" fillId="0" borderId="35" xfId="0" applyNumberFormat="1" applyFont="1" applyFill="1" applyBorder="1" applyAlignment="1">
      <alignment horizontal="left" vertical="center" wrapText="1"/>
    </xf>
    <xf numFmtId="4" fontId="36" fillId="0" borderId="37" xfId="0" applyNumberFormat="1" applyFont="1" applyFill="1" applyBorder="1" applyAlignment="1">
      <alignment vertical="center" wrapText="1"/>
    </xf>
    <xf numFmtId="0" fontId="35" fillId="0" borderId="18" xfId="0" applyFont="1" applyFill="1" applyBorder="1" applyAlignment="1">
      <alignment horizontal="center" vertical="center" wrapText="1"/>
    </xf>
    <xf numFmtId="0" fontId="32" fillId="0" borderId="13" xfId="0" applyFont="1" applyFill="1" applyBorder="1" applyAlignment="1">
      <alignment horizontal="left" vertical="center"/>
    </xf>
    <xf numFmtId="0" fontId="33" fillId="0" borderId="13" xfId="35" applyNumberFormat="1" applyFont="1" applyFill="1" applyBorder="1" applyAlignment="1">
      <alignment horizontal="center" vertical="center" wrapText="1"/>
    </xf>
    <xf numFmtId="0" fontId="35" fillId="0" borderId="39" xfId="0" applyFont="1" applyFill="1" applyBorder="1" applyAlignment="1">
      <alignment horizontal="left" vertical="center"/>
    </xf>
    <xf numFmtId="0" fontId="34" fillId="0" borderId="36" xfId="35" applyNumberFormat="1" applyFont="1" applyFill="1" applyBorder="1" applyAlignment="1">
      <alignment horizontal="center" vertical="center" wrapText="1"/>
    </xf>
    <xf numFmtId="0" fontId="34" fillId="0" borderId="29" xfId="35" applyNumberFormat="1" applyFont="1" applyFill="1" applyBorder="1" applyAlignment="1">
      <alignment horizontal="center" vertical="center" wrapText="1"/>
    </xf>
    <xf numFmtId="0" fontId="34" fillId="0" borderId="41" xfId="0" applyFont="1" applyFill="1" applyBorder="1" applyAlignment="1">
      <alignment horizontal="left" vertical="center" wrapText="1"/>
    </xf>
    <xf numFmtId="0" fontId="34" fillId="0" borderId="34" xfId="35" applyNumberFormat="1" applyFont="1" applyFill="1" applyBorder="1" applyAlignment="1">
      <alignment horizontal="center" vertical="center" wrapText="1"/>
    </xf>
    <xf numFmtId="0" fontId="35" fillId="0" borderId="43" xfId="0" applyFont="1" applyFill="1" applyBorder="1" applyAlignment="1">
      <alignment horizontal="center" vertical="center" wrapText="1"/>
    </xf>
    <xf numFmtId="0" fontId="32" fillId="0" borderId="25" xfId="0" applyFont="1" applyFill="1" applyBorder="1" applyAlignment="1">
      <alignment horizontal="left" vertical="center"/>
    </xf>
    <xf numFmtId="0" fontId="33" fillId="0" borderId="25" xfId="35" applyNumberFormat="1" applyFont="1" applyFill="1" applyBorder="1" applyAlignment="1">
      <alignment horizontal="center" vertical="center" wrapText="1"/>
    </xf>
    <xf numFmtId="0" fontId="34" fillId="0" borderId="27" xfId="0" applyFont="1" applyFill="1" applyBorder="1" applyAlignment="1">
      <alignment horizontal="center" vertical="center" wrapText="1"/>
    </xf>
    <xf numFmtId="0" fontId="33" fillId="0" borderId="39" xfId="0" applyFont="1" applyFill="1" applyBorder="1" applyAlignment="1">
      <alignment horizontal="left" vertical="center" wrapText="1"/>
    </xf>
    <xf numFmtId="0" fontId="34" fillId="0" borderId="54" xfId="0" applyFont="1" applyFill="1" applyBorder="1" applyAlignment="1">
      <alignment horizontal="center" vertical="center" wrapText="1"/>
    </xf>
    <xf numFmtId="0" fontId="34" fillId="0" borderId="29" xfId="0" applyFont="1" applyFill="1" applyBorder="1" applyAlignment="1">
      <alignment horizontal="left" vertical="center" wrapText="1"/>
    </xf>
    <xf numFmtId="0" fontId="34" fillId="0" borderId="46" xfId="0" applyFont="1" applyFill="1" applyBorder="1" applyAlignment="1">
      <alignment horizontal="left" vertical="center" wrapText="1"/>
    </xf>
    <xf numFmtId="0" fontId="34" fillId="0" borderId="46" xfId="35" applyNumberFormat="1" applyFont="1" applyFill="1" applyBorder="1" applyAlignment="1">
      <alignment horizontal="center" vertical="center" wrapText="1"/>
    </xf>
    <xf numFmtId="0" fontId="34" fillId="0" borderId="48" xfId="0" applyFont="1" applyFill="1" applyBorder="1" applyAlignment="1">
      <alignment horizontal="left" vertical="center" wrapText="1"/>
    </xf>
    <xf numFmtId="0" fontId="20" fillId="0" borderId="12" xfId="0" applyFont="1" applyFill="1" applyBorder="1" applyAlignment="1">
      <alignment horizontal="center" vertical="center" wrapText="1"/>
    </xf>
    <xf numFmtId="0" fontId="20" fillId="0" borderId="19" xfId="0" applyFont="1" applyFill="1" applyBorder="1" applyAlignment="1">
      <alignment horizontal="center" vertical="center"/>
    </xf>
    <xf numFmtId="0" fontId="20" fillId="0" borderId="0"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0" xfId="0" applyFont="1" applyFill="1" applyBorder="1" applyAlignment="1">
      <alignment horizontal="center" vertical="center"/>
    </xf>
    <xf numFmtId="0" fontId="20" fillId="0" borderId="12" xfId="0" applyFont="1" applyFill="1" applyBorder="1" applyAlignment="1">
      <alignment horizontal="left" vertical="center" wrapText="1"/>
    </xf>
    <xf numFmtId="0" fontId="20" fillId="0" borderId="13" xfId="0" applyFont="1" applyFill="1" applyBorder="1" applyAlignment="1">
      <alignment horizontal="left" vertical="center" wrapText="1"/>
    </xf>
    <xf numFmtId="0" fontId="20" fillId="0" borderId="17" xfId="0" applyFont="1" applyFill="1" applyBorder="1" applyAlignment="1">
      <alignment horizontal="left" vertical="center" wrapText="1"/>
    </xf>
    <xf numFmtId="4" fontId="28" fillId="0" borderId="11" xfId="0" applyNumberFormat="1" applyFont="1" applyFill="1" applyBorder="1" applyAlignment="1">
      <alignment horizontal="center" vertical="center" wrapText="1"/>
    </xf>
    <xf numFmtId="4" fontId="28" fillId="0" borderId="55" xfId="0" applyNumberFormat="1" applyFont="1" applyFill="1" applyBorder="1" applyAlignment="1">
      <alignment horizontal="center" vertical="center"/>
    </xf>
    <xf numFmtId="4" fontId="28" fillId="0" borderId="15" xfId="0" applyNumberFormat="1" applyFont="1" applyFill="1" applyBorder="1" applyAlignment="1">
      <alignment horizontal="center" vertical="center"/>
    </xf>
    <xf numFmtId="0" fontId="20" fillId="0" borderId="10" xfId="0" applyFont="1" applyFill="1" applyBorder="1" applyAlignment="1">
      <alignment horizontal="center" vertical="center"/>
    </xf>
    <xf numFmtId="0" fontId="20" fillId="0" borderId="49" xfId="0" applyFont="1" applyFill="1" applyBorder="1" applyAlignment="1">
      <alignment horizontal="center" vertical="center" wrapText="1"/>
    </xf>
    <xf numFmtId="0" fontId="20" fillId="0" borderId="49"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17" xfId="0" applyFont="1" applyFill="1" applyBorder="1" applyAlignment="1">
      <alignment horizontal="center" vertical="center"/>
    </xf>
    <xf numFmtId="0" fontId="37" fillId="0" borderId="50" xfId="0" applyFont="1" applyFill="1" applyBorder="1" applyAlignment="1">
      <alignment horizontal="center" vertical="center" wrapText="1"/>
    </xf>
    <xf numFmtId="0" fontId="37" fillId="0" borderId="32" xfId="0" applyFont="1" applyFill="1" applyBorder="1" applyAlignment="1">
      <alignment horizontal="center" vertical="center" wrapText="1"/>
    </xf>
    <xf numFmtId="0" fontId="37" fillId="0" borderId="51" xfId="0" applyFont="1" applyFill="1" applyBorder="1" applyAlignment="1">
      <alignment horizontal="center" vertical="center" wrapText="1"/>
    </xf>
    <xf numFmtId="0" fontId="37" fillId="0" borderId="33"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20" fillId="0" borderId="10" xfId="0" applyNumberFormat="1" applyFont="1" applyFill="1" applyBorder="1" applyAlignment="1">
      <alignment horizontal="center" vertical="center" wrapText="1"/>
    </xf>
    <xf numFmtId="49" fontId="20" fillId="0" borderId="11" xfId="0" applyNumberFormat="1" applyFont="1" applyFill="1" applyBorder="1" applyAlignment="1">
      <alignment horizontal="left" vertical="center" wrapText="1"/>
    </xf>
    <xf numFmtId="0" fontId="20" fillId="0" borderId="15" xfId="0" applyNumberFormat="1" applyFont="1" applyFill="1" applyBorder="1" applyAlignment="1">
      <alignment horizontal="left" vertical="center" wrapText="1"/>
    </xf>
    <xf numFmtId="0" fontId="20" fillId="0" borderId="23" xfId="0" applyFont="1" applyFill="1" applyBorder="1" applyAlignment="1">
      <alignment horizontal="center" vertical="center"/>
    </xf>
    <xf numFmtId="0" fontId="20" fillId="0" borderId="24" xfId="0" applyFont="1" applyFill="1" applyBorder="1" applyAlignment="1">
      <alignment horizontal="center" vertical="center"/>
    </xf>
    <xf numFmtId="0" fontId="20" fillId="0" borderId="11" xfId="0" applyNumberFormat="1" applyFont="1" applyFill="1" applyBorder="1" applyAlignment="1">
      <alignment horizontal="center" vertical="center" wrapText="1"/>
    </xf>
    <xf numFmtId="0" fontId="20" fillId="0" borderId="15" xfId="0" applyNumberFormat="1" applyFont="1" applyFill="1" applyBorder="1" applyAlignment="1">
      <alignment horizontal="center" vertical="center" wrapText="1"/>
    </xf>
    <xf numFmtId="49" fontId="20" fillId="0" borderId="11" xfId="0" applyNumberFormat="1" applyFont="1" applyFill="1" applyBorder="1" applyAlignment="1">
      <alignment horizontal="center" vertical="center" wrapText="1"/>
    </xf>
    <xf numFmtId="4" fontId="20" fillId="0" borderId="11" xfId="0" applyNumberFormat="1" applyFont="1" applyFill="1" applyBorder="1" applyAlignment="1">
      <alignment horizontal="center" vertical="center" wrapText="1"/>
    </xf>
  </cellXfs>
  <cellStyles count="45">
    <cellStyle name="20% - Ênfase1" xfId="1" builtinId="30" customBuiltin="1"/>
    <cellStyle name="20% - Ênfase2" xfId="2" builtinId="34" customBuiltin="1"/>
    <cellStyle name="20% - Ênfase3" xfId="3" builtinId="38" customBuiltin="1"/>
    <cellStyle name="20% - Ênfase4" xfId="4" builtinId="42" customBuiltin="1"/>
    <cellStyle name="20% - Ênfase5" xfId="5" builtinId="46" customBuiltin="1"/>
    <cellStyle name="20% - Ênfase6" xfId="6" builtinId="50" customBuiltin="1"/>
    <cellStyle name="40% - Ênfase1" xfId="7" builtinId="31" customBuiltin="1"/>
    <cellStyle name="40% - Ênfase2" xfId="8" builtinId="35" customBuiltin="1"/>
    <cellStyle name="40% - Ênfase3" xfId="9" builtinId="39" customBuiltin="1"/>
    <cellStyle name="40% - Ênfase4" xfId="10" builtinId="43" customBuiltin="1"/>
    <cellStyle name="40% - Ênfase5" xfId="11" builtinId="47" customBuiltin="1"/>
    <cellStyle name="40% - Ênfase6" xfId="12" builtinId="51" customBuiltin="1"/>
    <cellStyle name="60% - Ênfase1" xfId="13" builtinId="32" customBuiltin="1"/>
    <cellStyle name="60% - Ênfase2" xfId="14" builtinId="36" customBuiltin="1"/>
    <cellStyle name="60% - Ênfase3" xfId="15" builtinId="40" customBuiltin="1"/>
    <cellStyle name="60% - Ênfase4" xfId="16" builtinId="44" customBuiltin="1"/>
    <cellStyle name="60% - Ênfase5" xfId="17" builtinId="48" customBuiltin="1"/>
    <cellStyle name="60% - Ênfase6" xfId="18" builtinId="52" customBuiltin="1"/>
    <cellStyle name="Bom" xfId="19" builtinId="26" customBuiltin="1"/>
    <cellStyle name="Cálculo" xfId="20" builtinId="22" customBuiltin="1"/>
    <cellStyle name="Célula de Verificação" xfId="21" builtinId="23" customBuiltin="1"/>
    <cellStyle name="Célula Vinculada" xfId="22" builtinId="24" customBuiltin="1"/>
    <cellStyle name="Ênfase1" xfId="23" builtinId="29" customBuiltin="1"/>
    <cellStyle name="Ênfase2" xfId="24" builtinId="33" customBuiltin="1"/>
    <cellStyle name="Ênfase3" xfId="25" builtinId="37" customBuiltin="1"/>
    <cellStyle name="Ênfase4" xfId="26" builtinId="41" customBuiltin="1"/>
    <cellStyle name="Ênfase5" xfId="27" builtinId="45" customBuiltin="1"/>
    <cellStyle name="Ênfase6" xfId="28" builtinId="49" customBuiltin="1"/>
    <cellStyle name="Entrada" xfId="29" builtinId="20" customBuiltin="1"/>
    <cellStyle name="Incorreto" xfId="30" builtinId="27" customBuiltin="1"/>
    <cellStyle name="Neutra" xfId="31" builtinId="28" customBuiltin="1"/>
    <cellStyle name="Normal" xfId="0" builtinId="0"/>
    <cellStyle name="Nota" xfId="32" builtinId="10" customBuiltin="1"/>
    <cellStyle name="Porcentagem" xfId="33" builtinId="5"/>
    <cellStyle name="Saída" xfId="34" builtinId="21" customBuiltin="1"/>
    <cellStyle name="Texto de Aviso" xfId="36" builtinId="11" customBuiltin="1"/>
    <cellStyle name="Texto Explicativo" xfId="37" builtinId="53" customBuiltin="1"/>
    <cellStyle name="Título" xfId="38" builtinId="15" customBuiltin="1"/>
    <cellStyle name="Título 1" xfId="39" builtinId="16" customBuiltin="1"/>
    <cellStyle name="Título 2" xfId="40" builtinId="17" customBuiltin="1"/>
    <cellStyle name="Título 3" xfId="41" builtinId="18" customBuiltin="1"/>
    <cellStyle name="Título 4" xfId="42" builtinId="19" customBuiltin="1"/>
    <cellStyle name="Total" xfId="43" builtinId="25" customBuiltin="1"/>
    <cellStyle name="Vírgula" xfId="35" builtinId="3"/>
    <cellStyle name="Vírgula 4" xfId="44"/>
  </cellStyles>
  <dxfs count="1">
    <dxf>
      <font>
        <b val="0"/>
        <i val="0"/>
        <color theme="0" tint="-0.14996795556505021"/>
        <name val="Calibri Light"/>
        <scheme val="none"/>
      </font>
      <fill>
        <patternFill>
          <fgColor indexed="64"/>
          <bgColor theme="0" tint="-0.14996795556505021"/>
        </patternFill>
      </fill>
      <border>
        <left/>
        <right/>
        <top style="thin">
          <color indexed="64"/>
        </top>
        <bottom style="thin">
          <color indexed="64"/>
        </bottom>
      </border>
    </dxf>
  </dxfs>
  <tableStyles count="0" defaultTableStyle="TableStyleMedium9"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228600</xdr:colOff>
          <xdr:row>0</xdr:row>
          <xdr:rowOff>209550</xdr:rowOff>
        </xdr:from>
        <xdr:to>
          <xdr:col>2</xdr:col>
          <xdr:colOff>133350</xdr:colOff>
          <xdr:row>0</xdr:row>
          <xdr:rowOff>895350</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0</xdr:colOff>
      <xdr:row>0</xdr:row>
      <xdr:rowOff>161925</xdr:rowOff>
    </xdr:from>
    <xdr:to>
      <xdr:col>5</xdr:col>
      <xdr:colOff>29027</xdr:colOff>
      <xdr:row>0</xdr:row>
      <xdr:rowOff>873125</xdr:rowOff>
    </xdr:to>
    <xdr:pic>
      <xdr:nvPicPr>
        <xdr:cNvPr id="3" name="Imagem 2"/>
        <xdr:cNvPicPr>
          <a:picLocks noChangeAspect="1"/>
        </xdr:cNvPicPr>
      </xdr:nvPicPr>
      <xdr:blipFill>
        <a:blip xmlns:r="http://schemas.openxmlformats.org/officeDocument/2006/relationships" r:embed="rId1"/>
        <a:stretch>
          <a:fillRect/>
        </a:stretch>
      </xdr:blipFill>
      <xdr:spPr>
        <a:xfrm>
          <a:off x="1295400" y="161925"/>
          <a:ext cx="4385127" cy="711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1344706</xdr:colOff>
      <xdr:row>0</xdr:row>
      <xdr:rowOff>124680</xdr:rowOff>
    </xdr:from>
    <xdr:to>
      <xdr:col>4</xdr:col>
      <xdr:colOff>504264</xdr:colOff>
      <xdr:row>0</xdr:row>
      <xdr:rowOff>799166</xdr:rowOff>
    </xdr:to>
    <xdr:pic>
      <xdr:nvPicPr>
        <xdr:cNvPr id="3" name="Imagem 2"/>
        <xdr:cNvPicPr>
          <a:picLocks noChangeAspect="1"/>
        </xdr:cNvPicPr>
      </xdr:nvPicPr>
      <xdr:blipFill>
        <a:blip xmlns:r="http://schemas.openxmlformats.org/officeDocument/2006/relationships" r:embed="rId1"/>
        <a:stretch>
          <a:fillRect/>
        </a:stretch>
      </xdr:blipFill>
      <xdr:spPr>
        <a:xfrm>
          <a:off x="1804147" y="124680"/>
          <a:ext cx="3978088" cy="67448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257175</xdr:colOff>
          <xdr:row>0</xdr:row>
          <xdr:rowOff>123825</xdr:rowOff>
        </xdr:from>
        <xdr:to>
          <xdr:col>1</xdr:col>
          <xdr:colOff>723900</xdr:colOff>
          <xdr:row>0</xdr:row>
          <xdr:rowOff>809625</xdr:rowOff>
        </xdr:to>
        <xdr:sp macro="" textlink="">
          <xdr:nvSpPr>
            <xdr:cNvPr id="8193" name="Object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uario\Google%20Drive\DFT%20Projetos\PROJETOS\SERRANIA\PROJETOS\PRA&#199;A\PROJETO%20PRACA%20SETE%20ORELHAS\PLANILHA%20M+&#220;LTIPLA%202.3%20-%20RAND%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al"/>
      <sheetName val="Novo!"/>
      <sheetName val="Dados"/>
      <sheetName val="BDI"/>
      <sheetName val="Orçamento"/>
      <sheetName val="Memória"/>
      <sheetName val="Comp"/>
      <sheetName val="Cot"/>
      <sheetName val="CronoFF"/>
      <sheetName val="QCI"/>
      <sheetName val="Memorial Descritivo"/>
      <sheetName val="Licitação"/>
      <sheetName val="CronoFF-L"/>
      <sheetName val="QCI-L"/>
      <sheetName val="BM"/>
      <sheetName val="RRE"/>
      <sheetName val="OFÍCIO"/>
      <sheetName val="CC"/>
    </sheetNames>
    <sheetDataSet>
      <sheetData sheetId="0" refreshError="1"/>
      <sheetData sheetId="1" refreshError="1"/>
      <sheetData sheetId="2" refreshError="1">
        <row r="29">
          <cell r="G29">
            <v>43009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K142"/>
  <sheetViews>
    <sheetView showGridLines="0" view="pageBreakPreview" zoomScaleNormal="75" zoomScaleSheetLayoutView="100" workbookViewId="0">
      <pane ySplit="11" topLeftCell="A12" activePane="bottomLeft" state="frozen"/>
      <selection pane="bottomLeft" activeCell="A6" sqref="A6"/>
    </sheetView>
  </sheetViews>
  <sheetFormatPr defaultColWidth="9.140625" defaultRowHeight="12.75" x14ac:dyDescent="0.2"/>
  <cols>
    <col min="1" max="1" width="6.5703125" style="4" customWidth="1"/>
    <col min="2" max="2" width="8.85546875" style="5" bestFit="1" customWidth="1"/>
    <col min="3" max="3" width="9.7109375" style="5" customWidth="1"/>
    <col min="4" max="4" width="49" style="16" customWidth="1"/>
    <col min="5" max="5" width="6.7109375" style="5" customWidth="1"/>
    <col min="6" max="6" width="11.5703125" style="6" bestFit="1" customWidth="1"/>
    <col min="7" max="8" width="12.7109375" style="6" customWidth="1"/>
    <col min="9" max="9" width="11.42578125" style="6" bestFit="1" customWidth="1"/>
    <col min="10" max="10" width="9.140625" style="15"/>
    <col min="11" max="11" width="21.28515625" style="5" customWidth="1"/>
    <col min="12" max="16384" width="9.140625" style="15"/>
  </cols>
  <sheetData>
    <row r="1" spans="1:11" s="14" customFormat="1" ht="80.099999999999994" customHeight="1" x14ac:dyDescent="0.2">
      <c r="A1" s="8"/>
      <c r="B1" s="9"/>
      <c r="C1" s="9"/>
      <c r="D1" s="64"/>
      <c r="E1" s="9"/>
      <c r="F1" s="17"/>
      <c r="G1" s="9"/>
      <c r="H1" s="9"/>
      <c r="I1" s="10"/>
      <c r="K1" s="192"/>
    </row>
    <row r="2" spans="1:11" s="14" customFormat="1" x14ac:dyDescent="0.2">
      <c r="A2" s="8"/>
      <c r="B2" s="9"/>
      <c r="C2" s="9"/>
      <c r="D2" s="64"/>
      <c r="E2" s="9"/>
      <c r="F2" s="17"/>
      <c r="G2" s="9"/>
      <c r="H2" s="9"/>
      <c r="I2" s="10"/>
      <c r="K2" s="192"/>
    </row>
    <row r="3" spans="1:11" x14ac:dyDescent="0.2">
      <c r="A3" s="248" t="s">
        <v>77</v>
      </c>
      <c r="B3" s="248"/>
      <c r="C3" s="248"/>
      <c r="D3" s="248"/>
      <c r="E3" s="248"/>
      <c r="F3" s="248"/>
      <c r="G3" s="248"/>
      <c r="H3" s="248"/>
      <c r="I3" s="248"/>
    </row>
    <row r="4" spans="1:11" x14ac:dyDescent="0.2">
      <c r="A4" s="194"/>
      <c r="B4" s="195"/>
      <c r="C4" s="195"/>
      <c r="D4" s="199"/>
      <c r="E4" s="195"/>
      <c r="F4" s="195"/>
      <c r="G4" s="195"/>
      <c r="H4" s="195"/>
      <c r="I4" s="196"/>
    </row>
    <row r="5" spans="1:11" x14ac:dyDescent="0.2">
      <c r="A5" s="18" t="str">
        <f>'MM CALC'!A3</f>
        <v>PREFEITURA MUNICIPAL DE XXXXX</v>
      </c>
      <c r="B5" s="2"/>
      <c r="C5" s="2"/>
      <c r="D5" s="65"/>
      <c r="E5" s="49" t="str">
        <f>'MM CALC'!E3</f>
        <v>DATA: XX/XX/XXXX</v>
      </c>
      <c r="F5" s="195"/>
      <c r="G5" s="66"/>
      <c r="H5" s="66"/>
      <c r="I5" s="44"/>
    </row>
    <row r="6" spans="1:11" x14ac:dyDescent="0.2">
      <c r="A6" s="18" t="str">
        <f>'MM CALC'!A4</f>
        <v xml:space="preserve">OBRA: CONSTRUÇÃO DE CAPELA VELÓRIO - M A-01 (uma sala de vigília) </v>
      </c>
      <c r="B6" s="2"/>
      <c r="C6" s="2"/>
      <c r="D6" s="65"/>
      <c r="E6" s="251"/>
      <c r="F6" s="252"/>
      <c r="G6" s="252"/>
      <c r="H6" s="252"/>
      <c r="I6" s="253"/>
    </row>
    <row r="7" spans="1:11" x14ac:dyDescent="0.2">
      <c r="A7" s="242" t="str">
        <f>'MM CALC'!A5</f>
        <v>LOCAL: RUA/AVENIDA XXXXX, Nº XXX, BAIRRO XXX - CIDADE XXXX, MINAS GERAIS</v>
      </c>
      <c r="B7" s="243"/>
      <c r="C7" s="243"/>
      <c r="D7" s="244"/>
      <c r="E7" s="249" t="s">
        <v>15</v>
      </c>
      <c r="F7" s="250"/>
      <c r="G7" s="254" t="s">
        <v>408</v>
      </c>
      <c r="H7" s="255"/>
      <c r="I7" s="245" t="s">
        <v>447</v>
      </c>
    </row>
    <row r="8" spans="1:11" ht="28.5" customHeight="1" x14ac:dyDescent="0.2">
      <c r="A8" s="242" t="s">
        <v>448</v>
      </c>
      <c r="B8" s="243"/>
      <c r="C8" s="243"/>
      <c r="D8" s="244"/>
      <c r="E8" s="153" t="s">
        <v>5</v>
      </c>
      <c r="F8" s="154" t="s">
        <v>3</v>
      </c>
      <c r="G8" s="256"/>
      <c r="H8" s="257"/>
      <c r="I8" s="246"/>
    </row>
    <row r="9" spans="1:11" x14ac:dyDescent="0.2">
      <c r="A9" s="156" t="s">
        <v>409</v>
      </c>
      <c r="B9" s="3"/>
      <c r="C9" s="3"/>
      <c r="D9" s="3"/>
      <c r="E9" s="200" t="s">
        <v>14</v>
      </c>
      <c r="F9" s="155" t="s">
        <v>4</v>
      </c>
      <c r="G9" s="157" t="s">
        <v>35</v>
      </c>
      <c r="H9" s="158">
        <v>0</v>
      </c>
      <c r="I9" s="247"/>
    </row>
    <row r="10" spans="1:11" x14ac:dyDescent="0.2">
      <c r="A10" s="11"/>
      <c r="B10" s="2"/>
      <c r="C10" s="2"/>
      <c r="D10" s="12"/>
      <c r="E10" s="2"/>
      <c r="F10" s="23"/>
      <c r="G10" s="13"/>
      <c r="H10" s="13"/>
      <c r="I10" s="22"/>
    </row>
    <row r="11" spans="1:11" s="5" customFormat="1" ht="25.5" x14ac:dyDescent="0.2">
      <c r="A11" s="115" t="s">
        <v>0</v>
      </c>
      <c r="B11" s="116" t="s">
        <v>9</v>
      </c>
      <c r="C11" s="193" t="s">
        <v>78</v>
      </c>
      <c r="D11" s="159" t="s">
        <v>1</v>
      </c>
      <c r="E11" s="116" t="s">
        <v>6</v>
      </c>
      <c r="F11" s="114" t="s">
        <v>7</v>
      </c>
      <c r="G11" s="7" t="s">
        <v>16</v>
      </c>
      <c r="H11" s="7" t="s">
        <v>17</v>
      </c>
      <c r="I11" s="7" t="s">
        <v>8</v>
      </c>
    </row>
    <row r="12" spans="1:11" x14ac:dyDescent="0.2">
      <c r="A12" s="128"/>
      <c r="B12" s="129"/>
      <c r="C12" s="129"/>
      <c r="D12" s="30"/>
      <c r="E12" s="129"/>
      <c r="F12" s="130"/>
      <c r="G12" s="131"/>
      <c r="H12" s="131"/>
      <c r="I12" s="132" t="s">
        <v>38</v>
      </c>
    </row>
    <row r="13" spans="1:11" s="71" customFormat="1" ht="11.25" x14ac:dyDescent="0.2">
      <c r="A13" s="58">
        <f>'MM CALC'!A9</f>
        <v>1</v>
      </c>
      <c r="B13" s="58"/>
      <c r="C13" s="67"/>
      <c r="D13" s="201" t="str">
        <f>'MM CALC'!D9</f>
        <v>SERVIÇOS PRELIMINARES</v>
      </c>
      <c r="E13" s="68"/>
      <c r="F13" s="69"/>
      <c r="G13" s="70"/>
      <c r="H13" s="70"/>
      <c r="I13" s="70">
        <f>SUM(I14:I15)</f>
        <v>0</v>
      </c>
      <c r="K13" s="161"/>
    </row>
    <row r="14" spans="1:11" s="62" customFormat="1" ht="56.25" x14ac:dyDescent="0.2">
      <c r="A14" s="59" t="str">
        <f>'MM CALC'!A10</f>
        <v>1.1</v>
      </c>
      <c r="B14" s="59" t="str">
        <f>'MM CALC'!B10</f>
        <v>SEINFRA</v>
      </c>
      <c r="C14" s="56" t="str">
        <f>'MM CALC'!C10</f>
        <v>ED-50152</v>
      </c>
      <c r="D14" s="107" t="str">
        <f>'MM CALC'!D10</f>
        <v>FORNECIMENTO E COLOCAÇÃO DE PLACA DE OBRA EM CHAPA GALVANIZADA (3,00 X 1,5 0 M) - EM CHAPA GALVANIZADA 0,26 AFIXADAS COM REBITES 540 E PARAFUSOS 3/8, EM ESTRUTURA METÁLICA VIGA U 2" ENRIJECIDA COM METALON 20 X 20, SUPORTE EM EUCALIPTO AUTOCLAVADO PINTADAS</v>
      </c>
      <c r="E14" s="56" t="str">
        <f>'MM CALC'!E10</f>
        <v>u</v>
      </c>
      <c r="F14" s="60">
        <f>'MM CALC'!F10</f>
        <v>1</v>
      </c>
      <c r="G14" s="61"/>
      <c r="H14" s="61">
        <f>ROUND(G14+(G14*$H$9),2)</f>
        <v>0</v>
      </c>
      <c r="I14" s="61">
        <f>ROUND((F14*H14),2)</f>
        <v>0</v>
      </c>
      <c r="K14" s="162"/>
    </row>
    <row r="15" spans="1:11" s="62" customFormat="1" ht="11.25" x14ac:dyDescent="0.2">
      <c r="A15" s="59" t="str">
        <f>'MM CALC'!A11</f>
        <v>1.2</v>
      </c>
      <c r="B15" s="59" t="str">
        <f>'MM CALC'!B11</f>
        <v>SEINFRA</v>
      </c>
      <c r="C15" s="56" t="str">
        <f>'MM CALC'!C11</f>
        <v>ED-50273</v>
      </c>
      <c r="D15" s="107" t="str">
        <f>'MM CALC'!D11</f>
        <v>LOCAÇÃO DA OBRA (GABARITO)</v>
      </c>
      <c r="E15" s="56" t="str">
        <f>'MM CALC'!E11</f>
        <v>m²</v>
      </c>
      <c r="F15" s="60">
        <f>'MM CALC'!F11</f>
        <v>98.932500000000005</v>
      </c>
      <c r="G15" s="61"/>
      <c r="H15" s="61">
        <f>ROUND(G15+(G15*$H$9),2)</f>
        <v>0</v>
      </c>
      <c r="I15" s="61">
        <f>ROUND((F15*H15),2)</f>
        <v>0</v>
      </c>
      <c r="K15" s="160"/>
    </row>
    <row r="16" spans="1:11" s="71" customFormat="1" ht="11.25" x14ac:dyDescent="0.2">
      <c r="A16" s="58">
        <f>'MM CALC'!A12</f>
        <v>2</v>
      </c>
      <c r="B16" s="59"/>
      <c r="C16" s="56"/>
      <c r="D16" s="201" t="str">
        <f>'MM CALC'!D12</f>
        <v>TRABALHOS EM TERRA</v>
      </c>
      <c r="E16" s="100"/>
      <c r="F16" s="60"/>
      <c r="G16" s="70"/>
      <c r="H16" s="70"/>
      <c r="I16" s="70">
        <f>SUM(I17:I19)</f>
        <v>0</v>
      </c>
      <c r="K16" s="163"/>
    </row>
    <row r="17" spans="1:11" s="62" customFormat="1" ht="11.25" x14ac:dyDescent="0.2">
      <c r="A17" s="59" t="str">
        <f>'MM CALC'!A13</f>
        <v>2.1</v>
      </c>
      <c r="B17" s="59" t="str">
        <f>'MM CALC'!B13</f>
        <v>SEINFRA</v>
      </c>
      <c r="C17" s="56" t="str">
        <f>'MM CALC'!C13</f>
        <v>ED-51107</v>
      </c>
      <c r="D17" s="107" t="str">
        <f>'MM CALC'!D13</f>
        <v>ESCAVAÇÃO MANUAL DE VALAS H &lt;= 1,50 M</v>
      </c>
      <c r="E17" s="56" t="str">
        <f>'MM CALC'!E13</f>
        <v>m³</v>
      </c>
      <c r="F17" s="60">
        <f>'MM CALC'!F13</f>
        <v>19.245000000000005</v>
      </c>
      <c r="G17" s="61"/>
      <c r="H17" s="61">
        <f t="shared" ref="H17:H19" si="0">ROUND(G17+(G17*$H$9),2)</f>
        <v>0</v>
      </c>
      <c r="I17" s="61">
        <f t="shared" ref="I17:I19" si="1">ROUND((F17*H17),2)</f>
        <v>0</v>
      </c>
      <c r="K17" s="162"/>
    </row>
    <row r="18" spans="1:11" s="62" customFormat="1" ht="11.25" x14ac:dyDescent="0.2">
      <c r="A18" s="59" t="str">
        <f>'MM CALC'!A14</f>
        <v>2.2</v>
      </c>
      <c r="B18" s="59" t="str">
        <f>'MM CALC'!B14</f>
        <v>SEINFRA</v>
      </c>
      <c r="C18" s="56" t="str">
        <f>'MM CALC'!C14</f>
        <v>ED-51093</v>
      </c>
      <c r="D18" s="107" t="str">
        <f>'MM CALC'!D14</f>
        <v>APILOAMENTO DO FUNDO DE VALAS COM SOQUETE</v>
      </c>
      <c r="E18" s="56"/>
      <c r="F18" s="60">
        <f>'MM CALC'!F14</f>
        <v>23.900000000000006</v>
      </c>
      <c r="G18" s="61"/>
      <c r="H18" s="61">
        <f t="shared" si="0"/>
        <v>0</v>
      </c>
      <c r="I18" s="61">
        <f t="shared" si="1"/>
        <v>0</v>
      </c>
      <c r="K18" s="162"/>
    </row>
    <row r="19" spans="1:11" s="62" customFormat="1" ht="11.25" x14ac:dyDescent="0.2">
      <c r="A19" s="59" t="str">
        <f>'MM CALC'!A15</f>
        <v>2.3</v>
      </c>
      <c r="B19" s="59" t="str">
        <f>'MM CALC'!B15</f>
        <v>SEINFRA</v>
      </c>
      <c r="C19" s="56" t="str">
        <f>'MM CALC'!C15</f>
        <v>ED-51120</v>
      </c>
      <c r="D19" s="107" t="str">
        <f>'MM CALC'!D15</f>
        <v>REATERRO MANUAL DE VALA</v>
      </c>
      <c r="E19" s="56" t="str">
        <f>'MM CALC'!E15</f>
        <v>m³</v>
      </c>
      <c r="F19" s="60">
        <f>'MM CALC'!F15</f>
        <v>10.292000000000003</v>
      </c>
      <c r="G19" s="61"/>
      <c r="H19" s="61">
        <f t="shared" si="0"/>
        <v>0</v>
      </c>
      <c r="I19" s="61">
        <f t="shared" si="1"/>
        <v>0</v>
      </c>
      <c r="K19" s="162"/>
    </row>
    <row r="20" spans="1:11" s="71" customFormat="1" ht="11.25" x14ac:dyDescent="0.2">
      <c r="A20" s="58">
        <f>'MM CALC'!A16</f>
        <v>3</v>
      </c>
      <c r="B20" s="58"/>
      <c r="C20" s="100"/>
      <c r="D20" s="201" t="str">
        <f>'MM CALC'!D16</f>
        <v>ESTRUTURAS EM CONCRETO ARMADO</v>
      </c>
      <c r="E20" s="100"/>
      <c r="F20" s="60"/>
      <c r="G20" s="70"/>
      <c r="H20" s="70"/>
      <c r="I20" s="70">
        <f>SUM(I21:I35)</f>
        <v>0</v>
      </c>
      <c r="K20" s="161"/>
    </row>
    <row r="21" spans="1:11" s="71" customFormat="1" ht="11.25" x14ac:dyDescent="0.2">
      <c r="A21" s="58" t="str">
        <f>'MM CALC'!A17</f>
        <v>3.1</v>
      </c>
      <c r="B21" s="58"/>
      <c r="C21" s="100"/>
      <c r="D21" s="201" t="str">
        <f>'MM CALC'!D17</f>
        <v>FUNDAÇÃO - SAPATAS E PILARES DE ARRANQUE</v>
      </c>
      <c r="E21" s="100"/>
      <c r="F21" s="60"/>
      <c r="G21" s="70"/>
      <c r="H21" s="70"/>
      <c r="I21" s="70"/>
      <c r="K21" s="161"/>
    </row>
    <row r="22" spans="1:11" s="62" customFormat="1" ht="22.5" x14ac:dyDescent="0.2">
      <c r="A22" s="59" t="str">
        <f>'MM CALC'!A18</f>
        <v>3.1.1</v>
      </c>
      <c r="B22" s="59" t="str">
        <f>'MM CALC'!B18</f>
        <v>SEINFRA</v>
      </c>
      <c r="C22" s="56" t="str">
        <f>'MM CALC'!C18</f>
        <v>ED-49812</v>
      </c>
      <c r="D22" s="107" t="str">
        <f>'MM CALC'!D18</f>
        <v>LASTRO DE CONCRETO MAGRO, INCLUSIVE TRANSPORTE, LANÇAMENTO E ADENSAMENTO</v>
      </c>
      <c r="E22" s="56" t="str">
        <f>'MM CALC'!E18</f>
        <v>m³</v>
      </c>
      <c r="F22" s="60">
        <f>'MM CALC'!F18</f>
        <v>1.1950000000000003</v>
      </c>
      <c r="G22" s="61"/>
      <c r="H22" s="61">
        <f t="shared" ref="H22:H25" si="2">ROUND(G22+(G22*$H$9),2)</f>
        <v>0</v>
      </c>
      <c r="I22" s="61">
        <f t="shared" ref="I22:I25" si="3">ROUND((F22*H22),2)</f>
        <v>0</v>
      </c>
      <c r="K22" s="162"/>
    </row>
    <row r="23" spans="1:11" s="62" customFormat="1" ht="22.5" x14ac:dyDescent="0.2">
      <c r="A23" s="59" t="str">
        <f>'MM CALC'!A19</f>
        <v>3.1.2</v>
      </c>
      <c r="B23" s="59" t="str">
        <f>'MM CALC'!B19</f>
        <v>SEINFRA</v>
      </c>
      <c r="C23" s="56" t="str">
        <f>'MM CALC'!C19</f>
        <v>ED-49810</v>
      </c>
      <c r="D23" s="107" t="str">
        <f>'MM CALC'!D19</f>
        <v>FORMA E DESFORMA DE TÁBUA E SARRAFO, REAPROVEITAMENTO (3X) (FUNDAÇÃO)</v>
      </c>
      <c r="E23" s="56"/>
      <c r="F23" s="60">
        <f>'MM CALC'!F19</f>
        <v>0.58799999999999997</v>
      </c>
      <c r="G23" s="61"/>
      <c r="H23" s="61">
        <f t="shared" si="2"/>
        <v>0</v>
      </c>
      <c r="I23" s="61">
        <f t="shared" si="3"/>
        <v>0</v>
      </c>
      <c r="K23" s="162"/>
    </row>
    <row r="24" spans="1:11" s="62" customFormat="1" ht="33.75" x14ac:dyDescent="0.2">
      <c r="A24" s="59" t="str">
        <f>'MM CALC'!A20</f>
        <v>3.1.3</v>
      </c>
      <c r="B24" s="59" t="str">
        <f>'MM CALC'!B20</f>
        <v>SEINFRA</v>
      </c>
      <c r="C24" s="56" t="str">
        <f>'MM CALC'!C20</f>
        <v>ED-49787</v>
      </c>
      <c r="D24" s="107" t="str">
        <f>'MM CALC'!D20</f>
        <v>FORNECIMENTO DE CONCRETO ESTRUTURAL, PREPARADO EM OBRA COM BETONEIRA, COM FCK 25 MPA, INCLUSIVE LANÇAMENTO, ADENSAMENTO E ACABAMENTO (FUNDAÇÃO)</v>
      </c>
      <c r="E24" s="56" t="str">
        <f>'MM CALC'!E20</f>
        <v>m³</v>
      </c>
      <c r="F24" s="60">
        <f>'MM CALC'!F20</f>
        <v>3.8520000000000008</v>
      </c>
      <c r="G24" s="61"/>
      <c r="H24" s="61">
        <f t="shared" si="2"/>
        <v>0</v>
      </c>
      <c r="I24" s="61">
        <f t="shared" si="3"/>
        <v>0</v>
      </c>
      <c r="K24" s="162"/>
    </row>
    <row r="25" spans="1:11" s="62" customFormat="1" ht="11.25" x14ac:dyDescent="0.2">
      <c r="A25" s="59" t="str">
        <f>'MM CALC'!A21</f>
        <v>3.1.4</v>
      </c>
      <c r="B25" s="59" t="str">
        <f>'MM CALC'!B21</f>
        <v>SEINFRA</v>
      </c>
      <c r="C25" s="56" t="str">
        <f>'MM CALC'!C21</f>
        <v>ED-48298</v>
      </c>
      <c r="D25" s="107" t="str">
        <f>'MM CALC'!D21</f>
        <v>CORTE, DOBRA E MONTAGEM DE AÇO CA-50/60</v>
      </c>
      <c r="E25" s="56" t="str">
        <f>'MM CALC'!E21</f>
        <v>kg</v>
      </c>
      <c r="F25" s="60">
        <f>'MM CALC'!F21</f>
        <v>308.16000000000008</v>
      </c>
      <c r="G25" s="61"/>
      <c r="H25" s="61">
        <f t="shared" si="2"/>
        <v>0</v>
      </c>
      <c r="I25" s="61">
        <f t="shared" si="3"/>
        <v>0</v>
      </c>
      <c r="K25" s="162"/>
    </row>
    <row r="26" spans="1:11" s="71" customFormat="1" ht="11.25" x14ac:dyDescent="0.2">
      <c r="A26" s="58" t="str">
        <f>'MM CALC'!A22</f>
        <v>3.2</v>
      </c>
      <c r="B26" s="58"/>
      <c r="C26" s="100"/>
      <c r="D26" s="201" t="str">
        <f>'MM CALC'!D22</f>
        <v>FUNDAÇÃO - VIGAS BALDRAME</v>
      </c>
      <c r="E26" s="100"/>
      <c r="F26" s="60"/>
      <c r="G26" s="70"/>
      <c r="H26" s="70"/>
      <c r="I26" s="70"/>
      <c r="K26" s="161"/>
    </row>
    <row r="27" spans="1:11" s="62" customFormat="1" ht="33.75" x14ac:dyDescent="0.2">
      <c r="A27" s="59" t="str">
        <f>'MM CALC'!A23</f>
        <v>3.2.1</v>
      </c>
      <c r="B27" s="59" t="str">
        <f>'MM CALC'!B23</f>
        <v>SEINFRA</v>
      </c>
      <c r="C27" s="56" t="str">
        <f>'MM CALC'!C23</f>
        <v>ED-49787</v>
      </c>
      <c r="D27" s="107" t="str">
        <f>'MM CALC'!D23</f>
        <v>FORNECIMENTO DE CONCRETO ESTRUTURAL, PREPARADO EM OBRA COM BETONEIRA, COM FCK 25MPA ,INCLUSIVE LANÇAMENTO, ADENSAMENTO E ACABAMENTO (FUNDAÇÃO)</v>
      </c>
      <c r="E27" s="56" t="str">
        <f>'MM CALC'!E23</f>
        <v>m³</v>
      </c>
      <c r="F27" s="60">
        <f>'MM CALC'!F23</f>
        <v>3.9060000000000001</v>
      </c>
      <c r="G27" s="61"/>
      <c r="H27" s="61">
        <f t="shared" ref="H27:H28" si="4">ROUND(G27+(G27*$H$9),2)</f>
        <v>0</v>
      </c>
      <c r="I27" s="61">
        <f t="shared" ref="I27:I28" si="5">ROUND((F27*H27),2)</f>
        <v>0</v>
      </c>
      <c r="K27" s="162"/>
    </row>
    <row r="28" spans="1:11" s="62" customFormat="1" ht="11.25" x14ac:dyDescent="0.2">
      <c r="A28" s="59" t="str">
        <f>'MM CALC'!A24</f>
        <v>3.2.2</v>
      </c>
      <c r="B28" s="59" t="str">
        <f>'MM CALC'!B24</f>
        <v>SEINFRA</v>
      </c>
      <c r="C28" s="56" t="str">
        <f>'MM CALC'!C24</f>
        <v>ED-48298</v>
      </c>
      <c r="D28" s="107" t="str">
        <f>'MM CALC'!D24</f>
        <v>CORTE, DOBRA E MONTAGEM DE AÇO CA-50/60</v>
      </c>
      <c r="E28" s="56"/>
      <c r="F28" s="60">
        <f>'MM CALC'!F24</f>
        <v>312.48</v>
      </c>
      <c r="G28" s="61"/>
      <c r="H28" s="61">
        <f t="shared" si="4"/>
        <v>0</v>
      </c>
      <c r="I28" s="61">
        <f t="shared" si="5"/>
        <v>0</v>
      </c>
      <c r="K28" s="162"/>
    </row>
    <row r="29" spans="1:11" s="71" customFormat="1" ht="11.25" x14ac:dyDescent="0.2">
      <c r="A29" s="58" t="str">
        <f>'MM CALC'!A25</f>
        <v>3.3</v>
      </c>
      <c r="B29" s="58"/>
      <c r="C29" s="100"/>
      <c r="D29" s="201" t="str">
        <f>'MM CALC'!D25</f>
        <v>SUPERESTRUTURA - PILARES E VIGAS</v>
      </c>
      <c r="E29" s="100"/>
      <c r="F29" s="60"/>
      <c r="G29" s="70"/>
      <c r="H29" s="70"/>
      <c r="I29" s="70"/>
      <c r="K29" s="161"/>
    </row>
    <row r="30" spans="1:11" s="62" customFormat="1" ht="22.5" x14ac:dyDescent="0.2">
      <c r="A30" s="59" t="str">
        <f>'MM CALC'!A26</f>
        <v>3.3.1</v>
      </c>
      <c r="B30" s="59" t="str">
        <f>'MM CALC'!B26</f>
        <v>SEINFRA</v>
      </c>
      <c r="C30" s="56" t="str">
        <f>'MM CALC'!C26</f>
        <v>ED-49644</v>
      </c>
      <c r="D30" s="107" t="str">
        <f>'MM CALC'!D26</f>
        <v>FORMA E DESFORMA DE COMPENSADO RESINADO, ESP. 10MM, REAPROVEITAMENTO (3X), EXCLUSIVE ESCORAMENTO</v>
      </c>
      <c r="E30" s="56" t="str">
        <f>'MM CALC'!E26</f>
        <v>m²</v>
      </c>
      <c r="F30" s="60">
        <f>'MM CALC'!F26</f>
        <v>92.040999999999997</v>
      </c>
      <c r="G30" s="61"/>
      <c r="H30" s="61">
        <f t="shared" ref="H30:H35" si="6">ROUND(G30+(G30*$H$9),2)</f>
        <v>0</v>
      </c>
      <c r="I30" s="61">
        <f t="shared" ref="I30:I35" si="7">ROUND((F30*H30),2)</f>
        <v>0</v>
      </c>
      <c r="K30" s="162"/>
    </row>
    <row r="31" spans="1:11" s="62" customFormat="1" ht="33.75" x14ac:dyDescent="0.2">
      <c r="A31" s="59" t="str">
        <f>'MM CALC'!A27</f>
        <v>3.3.2</v>
      </c>
      <c r="B31" s="59" t="str">
        <f>'MM CALC'!B27</f>
        <v>SEINFRA</v>
      </c>
      <c r="C31" s="56" t="str">
        <f>'MM CALC'!C27</f>
        <v>ED-49619</v>
      </c>
      <c r="D31" s="107" t="str">
        <f>'MM CALC'!D27</f>
        <v>FORNECIMENTO DE CONCRETO ESTRUTURAL, PREPARADO EM OBRA, COM FCK 25MPA, INCLUSIVE LANÇAMENTO, ADENSAMENTO E ACABAMENTO</v>
      </c>
      <c r="E31" s="56" t="str">
        <f>'MM CALC'!E27</f>
        <v>m³</v>
      </c>
      <c r="F31" s="60">
        <f>'MM CALC'!F27</f>
        <v>11.731549999999999</v>
      </c>
      <c r="G31" s="61"/>
      <c r="H31" s="61">
        <f t="shared" si="6"/>
        <v>0</v>
      </c>
      <c r="I31" s="61">
        <f t="shared" si="7"/>
        <v>0</v>
      </c>
      <c r="K31" s="162"/>
    </row>
    <row r="32" spans="1:11" s="62" customFormat="1" ht="11.25" x14ac:dyDescent="0.2">
      <c r="A32" s="59" t="str">
        <f>'MM CALC'!A28</f>
        <v>3.3.3</v>
      </c>
      <c r="B32" s="59" t="str">
        <f>'MM CALC'!B28</f>
        <v>SEINFRA</v>
      </c>
      <c r="C32" s="56" t="str">
        <f>'MM CALC'!C28</f>
        <v>ED-48298</v>
      </c>
      <c r="D32" s="107" t="str">
        <f>'MM CALC'!D28</f>
        <v>CORTE, DOBRA E MONTAGEM DE AÇO CA-50/60</v>
      </c>
      <c r="E32" s="56" t="str">
        <f>'MM CALC'!E28</f>
        <v>kg</v>
      </c>
      <c r="F32" s="60">
        <f>'MM CALC'!F28</f>
        <v>938.52399999999989</v>
      </c>
      <c r="G32" s="61"/>
      <c r="H32" s="61">
        <f t="shared" si="6"/>
        <v>0</v>
      </c>
      <c r="I32" s="61">
        <f t="shared" si="7"/>
        <v>0</v>
      </c>
      <c r="K32" s="162"/>
    </row>
    <row r="33" spans="1:11" s="71" customFormat="1" ht="11.25" x14ac:dyDescent="0.2">
      <c r="A33" s="58" t="str">
        <f>'MM CALC'!A29</f>
        <v>3.4</v>
      </c>
      <c r="B33" s="58"/>
      <c r="C33" s="100"/>
      <c r="D33" s="201" t="str">
        <f>'MM CALC'!D29</f>
        <v>LAJES DE TETO</v>
      </c>
      <c r="E33" s="100"/>
      <c r="F33" s="60"/>
      <c r="G33" s="70"/>
      <c r="H33" s="61"/>
      <c r="I33" s="70"/>
      <c r="K33" s="161"/>
    </row>
    <row r="34" spans="1:11" s="62" customFormat="1" ht="22.5" x14ac:dyDescent="0.2">
      <c r="A34" s="59" t="str">
        <f>'MM CALC'!A30</f>
        <v>3.4.1</v>
      </c>
      <c r="B34" s="59" t="str">
        <f>'MM CALC'!B30</f>
        <v>SEINFRA</v>
      </c>
      <c r="C34" s="56" t="str">
        <f>'MM CALC'!C30</f>
        <v>ED-50260</v>
      </c>
      <c r="D34" s="107" t="str">
        <f>'MM CALC'!D30</f>
        <v>LAJE PRÉ-MOLDADA, A REVESTIR, INCLUSIVE CAPEAMENTO E = 4 CM, SC = 300 KG/M2, L = 4,00 M</v>
      </c>
      <c r="E34" s="56" t="str">
        <f>'MM CALC'!E30</f>
        <v>m²</v>
      </c>
      <c r="F34" s="60">
        <f>'MM CALC'!F30</f>
        <v>60.27</v>
      </c>
      <c r="G34" s="61"/>
      <c r="H34" s="61">
        <f t="shared" si="6"/>
        <v>0</v>
      </c>
      <c r="I34" s="61">
        <f t="shared" si="7"/>
        <v>0</v>
      </c>
      <c r="K34" s="162"/>
    </row>
    <row r="35" spans="1:11" s="62" customFormat="1" ht="22.5" x14ac:dyDescent="0.2">
      <c r="A35" s="59" t="str">
        <f>'MM CALC'!A31</f>
        <v>3.4.2</v>
      </c>
      <c r="B35" s="59" t="str">
        <f>'MM CALC'!B31</f>
        <v>SEINFRA</v>
      </c>
      <c r="C35" s="56" t="str">
        <f>'MM CALC'!C31</f>
        <v>ED-50251</v>
      </c>
      <c r="D35" s="107" t="str">
        <f>'MM CALC'!D31</f>
        <v>ESCORAMENTO PARA LAJE PRÉ MOLDADAS EM TABUAS DE PINHO, INCLUSIVE RETIRADA</v>
      </c>
      <c r="E35" s="56" t="str">
        <f>'MM CALC'!E31</f>
        <v>m²</v>
      </c>
      <c r="F35" s="60">
        <f>'MM CALC'!F31</f>
        <v>60.27</v>
      </c>
      <c r="G35" s="61"/>
      <c r="H35" s="61">
        <f t="shared" si="6"/>
        <v>0</v>
      </c>
      <c r="I35" s="61">
        <f t="shared" si="7"/>
        <v>0</v>
      </c>
      <c r="K35" s="162"/>
    </row>
    <row r="36" spans="1:11" s="71" customFormat="1" ht="11.25" x14ac:dyDescent="0.2">
      <c r="A36" s="58">
        <f>'MM CALC'!A32</f>
        <v>4</v>
      </c>
      <c r="B36" s="58"/>
      <c r="C36" s="100"/>
      <c r="D36" s="201" t="str">
        <f>'MM CALC'!D32</f>
        <v>VEDAÇÕES, PISOS, COBERTURAS, ESQUADRIAS, ACABAMENTOS E ACESSÓRIOS</v>
      </c>
      <c r="E36" s="100"/>
      <c r="F36" s="60"/>
      <c r="G36" s="70"/>
      <c r="H36" s="133"/>
      <c r="I36" s="70">
        <f>SUM(I37:I95)</f>
        <v>0</v>
      </c>
      <c r="K36" s="161"/>
    </row>
    <row r="37" spans="1:11" s="71" customFormat="1" ht="11.25" x14ac:dyDescent="0.2">
      <c r="A37" s="58" t="str">
        <f>'MM CALC'!A33</f>
        <v>4.1</v>
      </c>
      <c r="B37" s="58"/>
      <c r="C37" s="100"/>
      <c r="D37" s="201" t="str">
        <f>'MM CALC'!D33</f>
        <v>ALVENARIAS/REVESTIMENTOS</v>
      </c>
      <c r="E37" s="100"/>
      <c r="F37" s="60"/>
      <c r="G37" s="70"/>
      <c r="H37" s="133"/>
      <c r="I37" s="70"/>
      <c r="K37" s="161"/>
    </row>
    <row r="38" spans="1:11" s="62" customFormat="1" ht="33.75" x14ac:dyDescent="0.2">
      <c r="A38" s="59" t="str">
        <f>'MM CALC'!A34</f>
        <v>4.1.1</v>
      </c>
      <c r="B38" s="59" t="str">
        <f>'MM CALC'!B34</f>
        <v>SEINFRA</v>
      </c>
      <c r="C38" s="56" t="str">
        <f>'MM CALC'!C34</f>
        <v>ED-48232</v>
      </c>
      <c r="D38" s="107" t="str">
        <f>'MM CALC'!D34</f>
        <v>ALVENARIA DE VEDAÇÃO COM TIJOLO CERÂMICO FURADO, ESP. 14CM, PARA REVESTIMENTO, INCLUSIVE ARGAMASSA PARA ASSENTAMENTO</v>
      </c>
      <c r="E38" s="56" t="str">
        <f>'MM CALC'!E34</f>
        <v>m²</v>
      </c>
      <c r="F38" s="60">
        <f>'MM CALC'!F34</f>
        <v>172.0316</v>
      </c>
      <c r="G38" s="61"/>
      <c r="H38" s="61">
        <f t="shared" ref="H38:H43" si="8">ROUND(G38+(G38*$H$9),2)</f>
        <v>0</v>
      </c>
      <c r="I38" s="61">
        <f t="shared" ref="I38:I43" si="9">ROUND((F38*H38),2)</f>
        <v>0</v>
      </c>
      <c r="K38" s="162"/>
    </row>
    <row r="39" spans="1:11" s="62" customFormat="1" ht="33.75" x14ac:dyDescent="0.2">
      <c r="A39" s="59" t="str">
        <f>'MM CALC'!A35</f>
        <v>4.1.2</v>
      </c>
      <c r="B39" s="59" t="str">
        <f>'MM CALC'!B35</f>
        <v>SEINFRA</v>
      </c>
      <c r="C39" s="56" t="str">
        <f>'MM CALC'!C35</f>
        <v>ED-48231</v>
      </c>
      <c r="D39" s="107" t="str">
        <f>'MM CALC'!D35</f>
        <v>ALVENARIA DE VEDAÇÃO COM TIJOLO CERÂMICO FURADO, ESP. 9CM, PARA REVESTIMENTO, INCLUSIVE ARGAMASSA PARA ASSENTAMENTO</v>
      </c>
      <c r="E39" s="56" t="str">
        <f>'MM CALC'!E35</f>
        <v>m²</v>
      </c>
      <c r="F39" s="60">
        <f>'MM CALC'!F35</f>
        <v>26.613</v>
      </c>
      <c r="G39" s="61"/>
      <c r="H39" s="61">
        <f t="shared" si="8"/>
        <v>0</v>
      </c>
      <c r="I39" s="61">
        <f t="shared" si="9"/>
        <v>0</v>
      </c>
      <c r="K39" s="162"/>
    </row>
    <row r="40" spans="1:11" s="62" customFormat="1" ht="33.75" x14ac:dyDescent="0.2">
      <c r="A40" s="59" t="str">
        <f>'MM CALC'!A36</f>
        <v>4.1.3</v>
      </c>
      <c r="B40" s="59" t="str">
        <f>'MM CALC'!B36</f>
        <v>SEINFRA</v>
      </c>
      <c r="C40" s="56" t="str">
        <f>'MM CALC'!C36</f>
        <v>ED-50727</v>
      </c>
      <c r="D40" s="107" t="str">
        <f>'MM CALC'!D36</f>
        <v>CHAPISCO COM ARGAMASSA, TRAÇO 1:3 (CIMENTO E AREIA), ESP. 5MM, APLICADO EM ALVENARIA/ESTRUTURA DE CONCRETO COM COLHER, PREPARO MECÂNICO</v>
      </c>
      <c r="E40" s="56" t="str">
        <f>'MM CALC'!E36</f>
        <v>m²</v>
      </c>
      <c r="F40" s="60">
        <f>'MM CALC'!F36</f>
        <v>507.29299999999995</v>
      </c>
      <c r="G40" s="61"/>
      <c r="H40" s="61">
        <f t="shared" si="8"/>
        <v>0</v>
      </c>
      <c r="I40" s="61">
        <f t="shared" si="9"/>
        <v>0</v>
      </c>
      <c r="K40" s="162"/>
    </row>
    <row r="41" spans="1:11" s="62" customFormat="1" ht="33.75" x14ac:dyDescent="0.2">
      <c r="A41" s="59" t="str">
        <f>'MM CALC'!A37</f>
        <v>4.1.4</v>
      </c>
      <c r="B41" s="59" t="str">
        <f>'MM CALC'!B37</f>
        <v>SEINFRA</v>
      </c>
      <c r="C41" s="56" t="str">
        <f>'MM CALC'!C37</f>
        <v>ED-50762</v>
      </c>
      <c r="D41" s="107" t="str">
        <f>'MM CALC'!D37</f>
        <v>REVESTIMENTO COM ARGAMASSA EM CAMADA ÚNICA, APLICADO EM PAREDE, TRAÇO 1:3 (CIMENTO E AREIA), ESP. 20MM, APLICAÇÃO MANUAL, PREPARO MECÂNICO</v>
      </c>
      <c r="E41" s="56" t="str">
        <f>'MM CALC'!E37</f>
        <v>m²</v>
      </c>
      <c r="F41" s="60">
        <f>'MM CALC'!F37</f>
        <v>507.29299999999995</v>
      </c>
      <c r="G41" s="61"/>
      <c r="H41" s="61">
        <f t="shared" si="8"/>
        <v>0</v>
      </c>
      <c r="I41" s="61">
        <f t="shared" si="9"/>
        <v>0</v>
      </c>
      <c r="K41" s="162"/>
    </row>
    <row r="42" spans="1:11" s="62" customFormat="1" ht="33.75" x14ac:dyDescent="0.2">
      <c r="A42" s="59" t="str">
        <f>'MM CALC'!A38</f>
        <v>4.1.5</v>
      </c>
      <c r="B42" s="59" t="str">
        <f>'MM CALC'!B38</f>
        <v>SEINFRA</v>
      </c>
      <c r="C42" s="56" t="str">
        <f>'MM CALC'!C38</f>
        <v>ED-50728</v>
      </c>
      <c r="D42" s="107" t="str">
        <f>'MM CALC'!D38</f>
        <v>CHAPISCO COM ARGAMASSA, TRAÇO 1:3 (CIMENTO E AREIA), ESP. 5MM, APLICADO EM TETO COM COLHER, PREPARO MECÂNICO</v>
      </c>
      <c r="E42" s="56" t="str">
        <f>'MM CALC'!E38</f>
        <v>m²</v>
      </c>
      <c r="F42" s="60">
        <f>'MM CALC'!F38</f>
        <v>49.319999999999993</v>
      </c>
      <c r="G42" s="61"/>
      <c r="H42" s="61">
        <f t="shared" si="8"/>
        <v>0</v>
      </c>
      <c r="I42" s="61">
        <f t="shared" si="9"/>
        <v>0</v>
      </c>
      <c r="K42" s="162"/>
    </row>
    <row r="43" spans="1:11" s="62" customFormat="1" ht="33.75" x14ac:dyDescent="0.2">
      <c r="A43" s="59" t="str">
        <f>'MM CALC'!A39</f>
        <v>4.1.6</v>
      </c>
      <c r="B43" s="59" t="str">
        <f>'MM CALC'!B39</f>
        <v>SEINFRA</v>
      </c>
      <c r="C43" s="56" t="str">
        <f>'MM CALC'!C39</f>
        <v>ED-50763</v>
      </c>
      <c r="D43" s="107" t="str">
        <f>'MM CALC'!D39</f>
        <v>REVESTIMENTO COM ARGAMASSA EM CAMADA ÚNICA, APLICADO EM TETO, TRAÇO 1:3 (CIMENTO E AREIA), ESP. 20MM, APLICAÇÃO MANUAL, PREPARO MECÂNICO</v>
      </c>
      <c r="E43" s="56" t="str">
        <f>'MM CALC'!E39</f>
        <v>m²</v>
      </c>
      <c r="F43" s="60">
        <f>'MM CALC'!F39</f>
        <v>49.319999999999993</v>
      </c>
      <c r="G43" s="61"/>
      <c r="H43" s="61">
        <f t="shared" si="8"/>
        <v>0</v>
      </c>
      <c r="I43" s="61">
        <f t="shared" si="9"/>
        <v>0</v>
      </c>
      <c r="K43" s="162"/>
    </row>
    <row r="44" spans="1:11" s="71" customFormat="1" ht="11.25" x14ac:dyDescent="0.2">
      <c r="A44" s="58" t="str">
        <f>'MM CALC'!A40</f>
        <v>4.2</v>
      </c>
      <c r="B44" s="58"/>
      <c r="C44" s="100"/>
      <c r="D44" s="201" t="str">
        <f>'MM CALC'!D40</f>
        <v>PISOS</v>
      </c>
      <c r="E44" s="100"/>
      <c r="F44" s="60"/>
      <c r="G44" s="70"/>
      <c r="H44" s="70"/>
      <c r="I44" s="70"/>
      <c r="K44" s="161"/>
    </row>
    <row r="45" spans="1:11" s="62" customFormat="1" ht="22.5" x14ac:dyDescent="0.2">
      <c r="A45" s="59" t="str">
        <f>'MM CALC'!A41</f>
        <v>4.2.1</v>
      </c>
      <c r="B45" s="59" t="str">
        <f>'MM CALC'!B41</f>
        <v>SEINFRA</v>
      </c>
      <c r="C45" s="56" t="str">
        <f>'MM CALC'!C41</f>
        <v>ED-49812</v>
      </c>
      <c r="D45" s="107" t="str">
        <f>'MM CALC'!D41</f>
        <v>LASTRO DE CONCRETO MAGRO, INCLUSIVE TRANSPORTE, LANÇAMENTO E ADENSAMENTO</v>
      </c>
      <c r="E45" s="56" t="str">
        <f>'MM CALC'!E41</f>
        <v>m³</v>
      </c>
      <c r="F45" s="60">
        <f>'MM CALC'!F41</f>
        <v>2.5775999999999999</v>
      </c>
      <c r="G45" s="61"/>
      <c r="H45" s="61">
        <f t="shared" ref="H45:H53" si="10">ROUND(G45+(G45*$H$9),2)</f>
        <v>0</v>
      </c>
      <c r="I45" s="61">
        <f t="shared" ref="I45:I53" si="11">ROUND((F45*H45),2)</f>
        <v>0</v>
      </c>
      <c r="K45" s="162"/>
    </row>
    <row r="46" spans="1:11" s="62" customFormat="1" ht="33.75" x14ac:dyDescent="0.2">
      <c r="A46" s="59" t="str">
        <f>'MM CALC'!A42</f>
        <v>4.2.2</v>
      </c>
      <c r="B46" s="59" t="str">
        <f>'MM CALC'!B42</f>
        <v>SEINFRA</v>
      </c>
      <c r="C46" s="56" t="str">
        <f>'MM CALC'!C42</f>
        <v>ED-48300</v>
      </c>
      <c r="D46" s="107" t="str">
        <f>'MM CALC'!D42</f>
        <v>ARMADURA DE TELA DE AÇO CA-60 B SOLDADA TIPO Q-92 (DIÂMETRO DO FIO: 4,20 MM / DIMENSÕES DA TRAMA: 150 X 150 MM / TIPO DA MALHA: QUADRANGULAR)</v>
      </c>
      <c r="E46" s="56" t="str">
        <f>'MM CALC'!E42</f>
        <v>kg</v>
      </c>
      <c r="F46" s="60">
        <f>'MM CALC'!F42</f>
        <v>127.16160000000001</v>
      </c>
      <c r="G46" s="61"/>
      <c r="H46" s="61">
        <f t="shared" si="10"/>
        <v>0</v>
      </c>
      <c r="I46" s="61">
        <f t="shared" si="11"/>
        <v>0</v>
      </c>
      <c r="K46" s="162"/>
    </row>
    <row r="47" spans="1:11" s="62" customFormat="1" ht="33.75" x14ac:dyDescent="0.2">
      <c r="A47" s="59" t="str">
        <f>'MM CALC'!A43</f>
        <v>4.2.3</v>
      </c>
      <c r="B47" s="59" t="str">
        <f>'MM CALC'!B43</f>
        <v>SEINFRA</v>
      </c>
      <c r="C47" s="56" t="str">
        <f>'MM CALC'!C43</f>
        <v>ED-49787</v>
      </c>
      <c r="D47" s="107" t="str">
        <f>'MM CALC'!D43</f>
        <v>FORNECIMENTO DE CONCRETO ESTRUTURAL, PREPARADO EM OBRA COM BETONEIRA, COM FCK 25MPA, INCLUSIVE LANÇAMENTO, ADENSAMENTO E ACABAMENTO (FUNDAÇÃO)</v>
      </c>
      <c r="E47" s="56" t="str">
        <f>'MM CALC'!E43</f>
        <v>m³</v>
      </c>
      <c r="F47" s="60">
        <f>'MM CALC'!F43</f>
        <v>4.2960000000000003</v>
      </c>
      <c r="G47" s="61"/>
      <c r="H47" s="61">
        <f t="shared" si="10"/>
        <v>0</v>
      </c>
      <c r="I47" s="61">
        <f t="shared" si="11"/>
        <v>0</v>
      </c>
      <c r="K47" s="162"/>
    </row>
    <row r="48" spans="1:11" s="62" customFormat="1" ht="22.5" x14ac:dyDescent="0.2">
      <c r="A48" s="59" t="str">
        <f>'MM CALC'!A44</f>
        <v>4.2.4</v>
      </c>
      <c r="B48" s="59" t="str">
        <f>'MM CALC'!B44</f>
        <v>SEINFRA</v>
      </c>
      <c r="C48" s="56" t="str">
        <f>'MM CALC'!C44</f>
        <v>ED-50566</v>
      </c>
      <c r="D48" s="107" t="str">
        <f>'MM CALC'!D44</f>
        <v>CONTRAPISO DESEMPENADO COM ARGAMASSA, TRAÇO 1:3 (CIMENTO E AREIA), ESP. 20MM</v>
      </c>
      <c r="E48" s="56" t="str">
        <f>'MM CALC'!E44</f>
        <v>m²</v>
      </c>
      <c r="F48" s="60">
        <f>'MM CALC'!F44</f>
        <v>85.92</v>
      </c>
      <c r="G48" s="61"/>
      <c r="H48" s="61">
        <f t="shared" si="10"/>
        <v>0</v>
      </c>
      <c r="I48" s="61">
        <f t="shared" si="11"/>
        <v>0</v>
      </c>
      <c r="K48" s="162"/>
    </row>
    <row r="49" spans="1:11" s="62" customFormat="1" ht="56.25" x14ac:dyDescent="0.2">
      <c r="A49" s="59" t="str">
        <f>'MM CALC'!A45</f>
        <v>4.2.5</v>
      </c>
      <c r="B49" s="59" t="str">
        <f>'MM CALC'!B45</f>
        <v>SEINFRA</v>
      </c>
      <c r="C49" s="56" t="str">
        <f>'MM CALC'!C45</f>
        <v>ED-50542</v>
      </c>
      <c r="D49" s="107" t="str">
        <f>'MM CALC'!D45</f>
        <v>REVESTIMENTO COM CERÂMICA APLICADO EM PISO, ACABAMENTO ESMALTADO, AMBIENTE INTERNO, PADRÃO EXTRA, DIMENSÃO DA PEÇA ATÉ 2025 CM2, PEI V, ASSENTAMENTO COM ARGAMASSA INDUSTRIALIZADA, INCLUSIVE REJUNTAMENTO</v>
      </c>
      <c r="E49" s="56" t="str">
        <f>'MM CALC'!E45</f>
        <v>m²</v>
      </c>
      <c r="F49" s="60">
        <f>'MM CALC'!F45</f>
        <v>85.92</v>
      </c>
      <c r="G49" s="61"/>
      <c r="H49" s="61">
        <f t="shared" si="10"/>
        <v>0</v>
      </c>
      <c r="I49" s="61">
        <f t="shared" si="11"/>
        <v>0</v>
      </c>
      <c r="K49" s="162"/>
    </row>
    <row r="50" spans="1:11" s="62" customFormat="1" ht="33.75" x14ac:dyDescent="0.2">
      <c r="A50" s="59" t="str">
        <f>'MM CALC'!A46</f>
        <v>4.2.6</v>
      </c>
      <c r="B50" s="59" t="str">
        <f>'MM CALC'!B46</f>
        <v>SEINFRA</v>
      </c>
      <c r="C50" s="56" t="str">
        <f>'MM CALC'!C46</f>
        <v>ED-50771</v>
      </c>
      <c r="D50" s="107" t="str">
        <f>'MM CALC'!D46</f>
        <v>RODAPÉ COM REVESTIMENTO EM CERÂMICA ESMALTADA COMERCIAL, ALTURA 10CM, PE IV, ASSENTAMENTO COM ARGAMASSA INDUSTRIALIZADA, INCLUSIVE REJUNTAMENTO</v>
      </c>
      <c r="E50" s="56" t="str">
        <f>'MM CALC'!E46</f>
        <v>M</v>
      </c>
      <c r="F50" s="60">
        <f>'MM CALC'!F46</f>
        <v>60.55</v>
      </c>
      <c r="G50" s="61"/>
      <c r="H50" s="61">
        <f t="shared" si="10"/>
        <v>0</v>
      </c>
      <c r="I50" s="61">
        <f t="shared" si="11"/>
        <v>0</v>
      </c>
      <c r="K50" s="162"/>
    </row>
    <row r="51" spans="1:11" s="62" customFormat="1" ht="56.25" x14ac:dyDescent="0.2">
      <c r="A51" s="59" t="str">
        <f>'MM CALC'!A47</f>
        <v>4.2.7</v>
      </c>
      <c r="B51" s="59" t="str">
        <f>'MM CALC'!B47</f>
        <v>SEINFRA</v>
      </c>
      <c r="C51" s="56" t="str">
        <f>'MM CALC'!C47</f>
        <v>ED-9081</v>
      </c>
      <c r="D51" s="107" t="str">
        <f>'MM CALC'!D47</f>
        <v>REVESTIMENTO COM CERÂMICA APLICADO EM PAREDE, ACABAMENTO ESMALTADO, AMBIENTE INTERNO/EXTERNO, PADRÃO EXTRA, DIMENSÃO DA PEÇA ATÉ 2025 CM2, PEIIII, ASSENTAMENTO COM ARGAMASSA INDUSTRIALIZADA, INCLUSIVE REJUNTAMENTO</v>
      </c>
      <c r="E51" s="56" t="str">
        <f>'MM CALC'!E47</f>
        <v>m²</v>
      </c>
      <c r="F51" s="60">
        <f>'MM CALC'!F47</f>
        <v>25.560000000000002</v>
      </c>
      <c r="G51" s="61"/>
      <c r="H51" s="61">
        <f t="shared" si="10"/>
        <v>0</v>
      </c>
      <c r="I51" s="61">
        <f t="shared" si="11"/>
        <v>0</v>
      </c>
      <c r="K51" s="162"/>
    </row>
    <row r="52" spans="1:11" s="62" customFormat="1" ht="33.75" x14ac:dyDescent="0.2">
      <c r="A52" s="59" t="str">
        <f>'MM CALC'!A48</f>
        <v>4.2.8</v>
      </c>
      <c r="B52" s="59" t="str">
        <f>'MM CALC'!B48</f>
        <v>SEINFRA</v>
      </c>
      <c r="C52" s="56" t="str">
        <f>'MM CALC'!C48</f>
        <v>ED-50563</v>
      </c>
      <c r="D52" s="107" t="str">
        <f>'MM CALC'!D48</f>
        <v>PISO CIMENTADO COM ARGAMASSA, TRAÇO 1:3 (CIMENTO E AREIA), COM ADITIVO IMPERMEABILIZANTE, ESP. 25MM, ACABAMENTO DESEMPENADO E FELTRADO</v>
      </c>
      <c r="E52" s="56" t="str">
        <f>'MM CALC'!E48</f>
        <v>m²</v>
      </c>
      <c r="F52" s="60">
        <f>'MM CALC'!F48</f>
        <v>3.24</v>
      </c>
      <c r="G52" s="61"/>
      <c r="H52" s="61">
        <f t="shared" si="10"/>
        <v>0</v>
      </c>
      <c r="I52" s="61">
        <f t="shared" si="11"/>
        <v>0</v>
      </c>
      <c r="K52" s="162"/>
    </row>
    <row r="53" spans="1:11" s="62" customFormat="1" ht="11.25" x14ac:dyDescent="0.2">
      <c r="A53" s="59" t="str">
        <f>'MM CALC'!A49</f>
        <v>4.2.9</v>
      </c>
      <c r="B53" s="59" t="str">
        <f>'MM CALC'!B49</f>
        <v>SEINFRA</v>
      </c>
      <c r="C53" s="56" t="str">
        <f>'MM CALC'!C49</f>
        <v>ED-51145</v>
      </c>
      <c r="D53" s="107" t="str">
        <f>'MM CALC'!D49</f>
        <v>PASSEIOS DE CONCRETO E = 6 CM, FCK = 10 MPA, JUNTA SECA</v>
      </c>
      <c r="E53" s="56" t="str">
        <f>'MM CALC'!E49</f>
        <v>m²</v>
      </c>
      <c r="F53" s="60">
        <f>'MM CALC'!F49</f>
        <v>20.25</v>
      </c>
      <c r="G53" s="61"/>
      <c r="H53" s="61">
        <f t="shared" si="10"/>
        <v>0</v>
      </c>
      <c r="I53" s="61">
        <f t="shared" si="11"/>
        <v>0</v>
      </c>
      <c r="K53" s="162"/>
    </row>
    <row r="54" spans="1:11" s="71" customFormat="1" ht="11.25" x14ac:dyDescent="0.2">
      <c r="A54" s="58" t="str">
        <f>'MM CALC'!A50</f>
        <v>4.3</v>
      </c>
      <c r="B54" s="58"/>
      <c r="C54" s="100"/>
      <c r="D54" s="201" t="str">
        <f>'MM CALC'!D50</f>
        <v>PINTURA</v>
      </c>
      <c r="E54" s="100"/>
      <c r="F54" s="60"/>
      <c r="G54" s="70"/>
      <c r="H54" s="70"/>
      <c r="I54" s="70"/>
      <c r="K54" s="161"/>
    </row>
    <row r="55" spans="1:11" s="62" customFormat="1" ht="22.5" x14ac:dyDescent="0.2">
      <c r="A55" s="59" t="str">
        <f>'MM CALC'!A51</f>
        <v>4.3.1</v>
      </c>
      <c r="B55" s="59" t="str">
        <f>'MM CALC'!B51</f>
        <v>SEINFRA</v>
      </c>
      <c r="C55" s="56" t="str">
        <f>'MM CALC'!C51</f>
        <v>ED-50451</v>
      </c>
      <c r="D55" s="107" t="str">
        <f>'MM CALC'!D51</f>
        <v>PINTURA ACRÍLICA EM PAREDE, DUAS(2) DEMÃOS, EXCLUSIVE SELADOR ACRÍLICO E MASSA ACRÍLICA/CORRIDA (PVA)</v>
      </c>
      <c r="E55" s="56" t="str">
        <f>'MM CALC'!E51</f>
        <v>m²</v>
      </c>
      <c r="F55" s="60">
        <f>'MM CALC'!F51</f>
        <v>481.73299999999995</v>
      </c>
      <c r="G55" s="61"/>
      <c r="H55" s="61">
        <f t="shared" ref="H55:H56" si="12">ROUND(G55+(G55*$H$9),2)</f>
        <v>0</v>
      </c>
      <c r="I55" s="61">
        <f t="shared" ref="I55:I56" si="13">ROUND((F55*H55),2)</f>
        <v>0</v>
      </c>
      <c r="K55" s="162"/>
    </row>
    <row r="56" spans="1:11" s="62" customFormat="1" ht="22.5" x14ac:dyDescent="0.2">
      <c r="A56" s="59" t="str">
        <f>'MM CALC'!A52</f>
        <v>4.3.2</v>
      </c>
      <c r="B56" s="59" t="str">
        <f>'MM CALC'!B52</f>
        <v>SEINFRA</v>
      </c>
      <c r="C56" s="56" t="str">
        <f>'MM CALC'!C52</f>
        <v>ED-50452</v>
      </c>
      <c r="D56" s="107" t="str">
        <f>'MM CALC'!D52</f>
        <v>PINTURA ACRÍLICA EM TETO, DUAS (2) DEMÃOS, EXCLUSIVE SELADOR ACRÍLICO E MASSA ACRÍLICA/CORRIDA (PVA)</v>
      </c>
      <c r="E56" s="56" t="str">
        <f>'MM CALC'!E52</f>
        <v>m²</v>
      </c>
      <c r="F56" s="60">
        <f>'MM CALC'!F52</f>
        <v>49.319999999999993</v>
      </c>
      <c r="G56" s="61"/>
      <c r="H56" s="61">
        <f t="shared" si="12"/>
        <v>0</v>
      </c>
      <c r="I56" s="61">
        <f t="shared" si="13"/>
        <v>0</v>
      </c>
      <c r="K56" s="162"/>
    </row>
    <row r="57" spans="1:11" s="71" customFormat="1" ht="11.25" x14ac:dyDescent="0.2">
      <c r="A57" s="58" t="str">
        <f>'MM CALC'!A53</f>
        <v>4.4</v>
      </c>
      <c r="B57" s="58"/>
      <c r="C57" s="100"/>
      <c r="D57" s="201" t="str">
        <f>'MM CALC'!D53</f>
        <v>COBERTURA</v>
      </c>
      <c r="E57" s="100"/>
      <c r="F57" s="60"/>
      <c r="G57" s="70"/>
      <c r="H57" s="70"/>
      <c r="I57" s="70"/>
      <c r="K57" s="161"/>
    </row>
    <row r="58" spans="1:11" s="62" customFormat="1" ht="11.25" x14ac:dyDescent="0.2">
      <c r="A58" s="59" t="str">
        <f>'MM CALC'!A54</f>
        <v>4.4.1</v>
      </c>
      <c r="B58" s="59" t="str">
        <f>'MM CALC'!B54</f>
        <v>SEINFRA</v>
      </c>
      <c r="C58" s="56" t="str">
        <f>'MM CALC'!C54</f>
        <v>ED-48408</v>
      </c>
      <c r="D58" s="107" t="str">
        <f>'MM CALC'!D54</f>
        <v>ENGRADAMENTO PARA TELHADO DE FIBROCIMENTO ONDULADA</v>
      </c>
      <c r="E58" s="56" t="str">
        <f>'MM CALC'!E54</f>
        <v>m²</v>
      </c>
      <c r="F58" s="60">
        <f>'MM CALC'!F54</f>
        <v>50.69</v>
      </c>
      <c r="G58" s="61"/>
      <c r="H58" s="61">
        <f t="shared" ref="H58:H66" si="14">ROUND(G58+(G58*$H$9),2)</f>
        <v>0</v>
      </c>
      <c r="I58" s="61">
        <f t="shared" ref="I58:I66" si="15">ROUND((F58*H58),2)</f>
        <v>0</v>
      </c>
      <c r="K58" s="162"/>
    </row>
    <row r="59" spans="1:11" s="62" customFormat="1" ht="11.25" x14ac:dyDescent="0.2">
      <c r="A59" s="59" t="str">
        <f>'MM CALC'!A55</f>
        <v>4.4.2</v>
      </c>
      <c r="B59" s="59" t="str">
        <f>'MM CALC'!B55</f>
        <v>SEINFRA</v>
      </c>
      <c r="C59" s="56" t="str">
        <f>'MM CALC'!C55</f>
        <v>ED-48425</v>
      </c>
      <c r="D59" s="107" t="str">
        <f>'MM CALC'!D55</f>
        <v>COBERTURA EM TELHA DE FIBROCIMENTO ONDULADA E = 8 MM</v>
      </c>
      <c r="E59" s="56" t="str">
        <f>'MM CALC'!E55</f>
        <v>m²</v>
      </c>
      <c r="F59" s="60">
        <f>'MM CALC'!F55</f>
        <v>50.69</v>
      </c>
      <c r="G59" s="61"/>
      <c r="H59" s="61">
        <f t="shared" si="14"/>
        <v>0</v>
      </c>
      <c r="I59" s="61">
        <f t="shared" si="15"/>
        <v>0</v>
      </c>
      <c r="K59" s="162"/>
    </row>
    <row r="60" spans="1:11" s="62" customFormat="1" ht="33.75" x14ac:dyDescent="0.2">
      <c r="A60" s="59" t="str">
        <f>'MM CALC'!A56</f>
        <v>4.4.3</v>
      </c>
      <c r="B60" s="59" t="str">
        <f>'MM CALC'!B56</f>
        <v>SEINFRA</v>
      </c>
      <c r="C60" s="56" t="str">
        <f>'MM CALC'!C56</f>
        <v>ED-49667</v>
      </c>
      <c r="D60" s="107" t="str">
        <f>'MM CALC'!D56</f>
        <v>FORNECIMENTO, FABRICAÇÃO, TRANSPORTE E MONTAGEM DE ESTRUTURA METÁLICA PARA TELHADO DE QUADRA POLI ESPORTIVA EM AÇO SAC-41, PINTADA</v>
      </c>
      <c r="E60" s="56" t="str">
        <f>'MM CALC'!E56</f>
        <v>m²</v>
      </c>
      <c r="F60" s="60">
        <f>'MM CALC'!F56</f>
        <v>40.837499999999999</v>
      </c>
      <c r="G60" s="61"/>
      <c r="H60" s="61">
        <f t="shared" si="14"/>
        <v>0</v>
      </c>
      <c r="I60" s="61">
        <f t="shared" si="15"/>
        <v>0</v>
      </c>
      <c r="K60" s="162"/>
    </row>
    <row r="61" spans="1:11" s="62" customFormat="1" ht="67.5" x14ac:dyDescent="0.2">
      <c r="A61" s="59" t="str">
        <f>'MM CALC'!A57</f>
        <v>4.4.4</v>
      </c>
      <c r="B61" s="59" t="str">
        <f>'MM CALC'!B57</f>
        <v>SEINFRA</v>
      </c>
      <c r="C61" s="56" t="str">
        <f>'MM CALC'!C57</f>
        <v>ED-48429</v>
      </c>
      <c r="D61" s="107" t="str">
        <f>'MM CALC'!D57</f>
        <v>COBERTURA EM TELHA METÁLICA GALVANIZADA TRAPEZOIDAL, TIPO DUPLA TERMO ACÚSTICA COM DUAS FACES TRAPEZOIDAIS, ESP. 0,43MM, PREENCHIMENTO EM POLIESTIRENO EXPANDIDO/ISOPOR COM ESP. 30MM, ACABAMENTO NATURAL, INCLUSIVE ACESSÓRIOS PARA FIXAÇÃO, FORNECIMENTO E INSTALAÇÃO</v>
      </c>
      <c r="E61" s="56" t="str">
        <f>'MM CALC'!E57</f>
        <v>m²</v>
      </c>
      <c r="F61" s="60">
        <f>'MM CALC'!F57</f>
        <v>40.837499999999999</v>
      </c>
      <c r="G61" s="61"/>
      <c r="H61" s="61">
        <f t="shared" si="14"/>
        <v>0</v>
      </c>
      <c r="I61" s="61">
        <f t="shared" si="15"/>
        <v>0</v>
      </c>
      <c r="K61" s="162"/>
    </row>
    <row r="62" spans="1:11" s="62" customFormat="1" ht="22.5" x14ac:dyDescent="0.2">
      <c r="A62" s="59" t="str">
        <f>'MM CALC'!A58</f>
        <v>4.4.5</v>
      </c>
      <c r="B62" s="59" t="str">
        <f>'MM CALC'!B58</f>
        <v>SEINFRA</v>
      </c>
      <c r="C62" s="56" t="str">
        <f>'MM CALC'!C58</f>
        <v>ED-50667</v>
      </c>
      <c r="D62" s="107" t="str">
        <f>'MM CALC'!D58</f>
        <v>CHAPIM METÁLICO, COM PINGADEIRA, CHAPA GALVANIZADA Nº24, DESENVOLVIMENTO = 35 CM</v>
      </c>
      <c r="E62" s="56" t="str">
        <f>'MM CALC'!E58</f>
        <v>m²</v>
      </c>
      <c r="F62" s="60">
        <f>'MM CALC'!F58</f>
        <v>52.150000000000013</v>
      </c>
      <c r="G62" s="61"/>
      <c r="H62" s="61">
        <f t="shared" si="14"/>
        <v>0</v>
      </c>
      <c r="I62" s="61">
        <f t="shared" si="15"/>
        <v>0</v>
      </c>
      <c r="K62" s="162"/>
    </row>
    <row r="63" spans="1:11" s="62" customFormat="1" ht="22.5" x14ac:dyDescent="0.2">
      <c r="A63" s="59" t="str">
        <f>'MM CALC'!A59</f>
        <v>4.4.6</v>
      </c>
      <c r="B63" s="59" t="str">
        <f>'MM CALC'!B59</f>
        <v>SEINFRA</v>
      </c>
      <c r="C63" s="56" t="str">
        <f>'MM CALC'!C59</f>
        <v>ED-50678</v>
      </c>
      <c r="D63" s="107" t="str">
        <f>'MM CALC'!D59</f>
        <v>RUFO E CONTRA-RUFO DE CHAPA GALVANIZADA Nº.24, DESENVOLVIMENTO = 33 CM</v>
      </c>
      <c r="E63" s="56" t="str">
        <f>'MM CALC'!E59</f>
        <v>m</v>
      </c>
      <c r="F63" s="60">
        <f>'MM CALC'!F59</f>
        <v>57.050000000000011</v>
      </c>
      <c r="G63" s="61"/>
      <c r="H63" s="61">
        <f t="shared" si="14"/>
        <v>0</v>
      </c>
      <c r="I63" s="61">
        <f t="shared" si="15"/>
        <v>0</v>
      </c>
      <c r="K63" s="162"/>
    </row>
    <row r="64" spans="1:11" s="62" customFormat="1" ht="22.5" x14ac:dyDescent="0.2">
      <c r="A64" s="59" t="str">
        <f>'MM CALC'!A60</f>
        <v>4.4.7</v>
      </c>
      <c r="B64" s="59" t="str">
        <f>'MM CALC'!B60</f>
        <v>SEINFRA</v>
      </c>
      <c r="C64" s="56" t="str">
        <f>'MM CALC'!C60</f>
        <v>ED-50648</v>
      </c>
      <c r="D64" s="107" t="str">
        <f>'MM CALC'!D60</f>
        <v>CALHA DE CHAPA GALVANIZADA Nº.22 GSG,DESENVOLVIMENTO= 33 CM</v>
      </c>
      <c r="E64" s="56" t="str">
        <f>'MM CALC'!E60</f>
        <v>m</v>
      </c>
      <c r="F64" s="60">
        <f>'MM CALC'!F60</f>
        <v>17.150000000000002</v>
      </c>
      <c r="G64" s="61"/>
      <c r="H64" s="61">
        <f t="shared" si="14"/>
        <v>0</v>
      </c>
      <c r="I64" s="61">
        <f t="shared" si="15"/>
        <v>0</v>
      </c>
      <c r="K64" s="162"/>
    </row>
    <row r="65" spans="1:11" s="62" customFormat="1" ht="11.25" x14ac:dyDescent="0.2">
      <c r="A65" s="59" t="str">
        <f>'MM CALC'!A61</f>
        <v>4.4.8</v>
      </c>
      <c r="B65" s="59" t="str">
        <f>'MM CALC'!B61</f>
        <v>SEINFRA</v>
      </c>
      <c r="C65" s="56" t="str">
        <f>'MM CALC'!C61</f>
        <v>ED-49962</v>
      </c>
      <c r="D65" s="107" t="str">
        <f>'MM CALC'!D61</f>
        <v>RALO SEMI- HEMISFÉRICO TIPO ABACAXI D = 100 MM</v>
      </c>
      <c r="E65" s="56" t="str">
        <f>'MM CALC'!E61</f>
        <v>u</v>
      </c>
      <c r="F65" s="60">
        <f>'MM CALC'!F61</f>
        <v>6</v>
      </c>
      <c r="G65" s="61"/>
      <c r="H65" s="61">
        <f t="shared" si="14"/>
        <v>0</v>
      </c>
      <c r="I65" s="61">
        <f t="shared" si="15"/>
        <v>0</v>
      </c>
      <c r="K65" s="162"/>
    </row>
    <row r="66" spans="1:11" s="62" customFormat="1" ht="22.5" x14ac:dyDescent="0.2">
      <c r="A66" s="59" t="str">
        <f>'MM CALC'!A62</f>
        <v>4.4.9</v>
      </c>
      <c r="B66" s="59" t="str">
        <f>'MM CALC'!B62</f>
        <v>SEINFRA</v>
      </c>
      <c r="C66" s="56" t="str">
        <f>'MM CALC'!C62</f>
        <v>ED-50668</v>
      </c>
      <c r="D66" s="107" t="str">
        <f>'MM CALC'!D62</f>
        <v>CONDUTOR DE AP DO TELHADO EM TUBO PVC ESGOTO, INCLUSIVE CONEXÕES E SUPORTES, 100 MM</v>
      </c>
      <c r="E66" s="56" t="str">
        <f>'MM CALC'!E62</f>
        <v>m</v>
      </c>
      <c r="F66" s="60">
        <f>'MM CALC'!F62</f>
        <v>20.399999999999999</v>
      </c>
      <c r="G66" s="61"/>
      <c r="H66" s="61">
        <f t="shared" si="14"/>
        <v>0</v>
      </c>
      <c r="I66" s="61">
        <f t="shared" si="15"/>
        <v>0</v>
      </c>
      <c r="K66" s="162"/>
    </row>
    <row r="67" spans="1:11" s="71" customFormat="1" ht="11.25" x14ac:dyDescent="0.2">
      <c r="A67" s="58" t="str">
        <f>'MM CALC'!A63</f>
        <v>4.5</v>
      </c>
      <c r="B67" s="58"/>
      <c r="C67" s="100"/>
      <c r="D67" s="201" t="str">
        <f>'MM CALC'!D63</f>
        <v>SOLEIRAS E PEITORIS</v>
      </c>
      <c r="E67" s="100"/>
      <c r="F67" s="60"/>
      <c r="G67" s="70"/>
      <c r="H67" s="133"/>
      <c r="I67" s="70"/>
      <c r="K67" s="161"/>
    </row>
    <row r="68" spans="1:11" s="62" customFormat="1" ht="11.25" x14ac:dyDescent="0.2">
      <c r="A68" s="59" t="str">
        <f>'MM CALC'!A64</f>
        <v>4.5.1</v>
      </c>
      <c r="B68" s="59" t="str">
        <f>'MM CALC'!B64</f>
        <v>SEINFRA</v>
      </c>
      <c r="C68" s="56" t="str">
        <f>'MM CALC'!C64</f>
        <v>ED-51001</v>
      </c>
      <c r="D68" s="107" t="str">
        <f>'MM CALC'!D64</f>
        <v>SOLEIRA DE ARDÓSIA E = 2 CM</v>
      </c>
      <c r="E68" s="56" t="str">
        <f>'MM CALC'!E64</f>
        <v>m²</v>
      </c>
      <c r="F68" s="60">
        <f>'MM CALC'!F64</f>
        <v>1.8100000000000003</v>
      </c>
      <c r="G68" s="61"/>
      <c r="H68" s="61">
        <f t="shared" ref="H68:H130" si="16">ROUND(G68+(G68*$H$9),2)</f>
        <v>0</v>
      </c>
      <c r="I68" s="61">
        <f t="shared" ref="I68:I69" si="17">ROUND((F68*H68),2)</f>
        <v>0</v>
      </c>
      <c r="K68" s="162"/>
    </row>
    <row r="69" spans="1:11" s="62" customFormat="1" ht="11.25" x14ac:dyDescent="0.2">
      <c r="A69" s="59" t="str">
        <f>'MM CALC'!A65</f>
        <v>4.5.2</v>
      </c>
      <c r="B69" s="59" t="str">
        <f>'MM CALC'!B65</f>
        <v>SEINFRA</v>
      </c>
      <c r="C69" s="56" t="str">
        <f>'MM CALC'!C65</f>
        <v>ED-50993</v>
      </c>
      <c r="D69" s="107" t="str">
        <f>'MM CALC'!D65</f>
        <v>PEITORIL DE ARDÓSIA E = 2 CM</v>
      </c>
      <c r="E69" s="56" t="str">
        <f>'MM CALC'!E65</f>
        <v>m²</v>
      </c>
      <c r="F69" s="60">
        <f>'MM CALC'!F65</f>
        <v>2.0700000000000003</v>
      </c>
      <c r="G69" s="61"/>
      <c r="H69" s="61">
        <f t="shared" si="16"/>
        <v>0</v>
      </c>
      <c r="I69" s="61">
        <f t="shared" si="17"/>
        <v>0</v>
      </c>
      <c r="K69" s="162"/>
    </row>
    <row r="70" spans="1:11" s="71" customFormat="1" ht="11.25" x14ac:dyDescent="0.2">
      <c r="A70" s="58" t="str">
        <f>'MM CALC'!A66</f>
        <v>4.6</v>
      </c>
      <c r="B70" s="58"/>
      <c r="C70" s="100"/>
      <c r="D70" s="201" t="str">
        <f>'MM CALC'!D66</f>
        <v>ESQUADRIAS E ACESSÓRIOS</v>
      </c>
      <c r="E70" s="100"/>
      <c r="F70" s="60"/>
      <c r="G70" s="70"/>
      <c r="H70" s="70"/>
      <c r="I70" s="70"/>
      <c r="K70" s="161"/>
    </row>
    <row r="71" spans="1:11" s="62" customFormat="1" ht="22.5" x14ac:dyDescent="0.2">
      <c r="A71" s="59" t="str">
        <f>'MM CALC'!A67</f>
        <v>4.6.1</v>
      </c>
      <c r="B71" s="59" t="str">
        <f>'MM CALC'!B67</f>
        <v>SEINFRA</v>
      </c>
      <c r="C71" s="56" t="str">
        <f>'MM CALC'!C67</f>
        <v>ED-50954</v>
      </c>
      <c r="D71" s="107" t="str">
        <f>'MM CALC'!D67</f>
        <v>FORNECIMENTO E ASSENTAMENTO DE JANELA BASCULANTE DE FERRO</v>
      </c>
      <c r="E71" s="56" t="str">
        <f>'MM CALC'!E67</f>
        <v>m²</v>
      </c>
      <c r="F71" s="60">
        <f>'MM CALC'!F67</f>
        <v>12.494399999999999</v>
      </c>
      <c r="G71" s="61"/>
      <c r="H71" s="61">
        <f t="shared" si="16"/>
        <v>0</v>
      </c>
      <c r="I71" s="61">
        <f t="shared" ref="I71:I95" si="18">ROUND((F71*H71),2)</f>
        <v>0</v>
      </c>
      <c r="K71" s="162"/>
    </row>
    <row r="72" spans="1:11" s="62" customFormat="1" ht="22.5" x14ac:dyDescent="0.2">
      <c r="A72" s="59" t="str">
        <f>'MM CALC'!A68</f>
        <v>4.6.2</v>
      </c>
      <c r="B72" s="59" t="str">
        <f>'MM CALC'!B68</f>
        <v>SEINFRA</v>
      </c>
      <c r="C72" s="56" t="str">
        <f>'MM CALC'!C68</f>
        <v>ED-48235</v>
      </c>
      <c r="D72" s="107" t="str">
        <f>'MM CALC'!D68</f>
        <v>ELEMENTOS VAZADOS DE VIDRO, 8X10X20CM, TIPO CAPELINHA, JUNTAS DE 15 MM COM ARGAMASSA INDUSTRIALIZADA</v>
      </c>
      <c r="E72" s="56" t="str">
        <f>'MM CALC'!E68</f>
        <v>m²</v>
      </c>
      <c r="F72" s="60">
        <f>'MM CALC'!F68</f>
        <v>1.3860000000000001</v>
      </c>
      <c r="G72" s="61"/>
      <c r="H72" s="61">
        <f t="shared" si="16"/>
        <v>0</v>
      </c>
      <c r="I72" s="61">
        <f t="shared" si="18"/>
        <v>0</v>
      </c>
      <c r="K72" s="162"/>
    </row>
    <row r="73" spans="1:11" s="62" customFormat="1" ht="33.75" x14ac:dyDescent="0.2">
      <c r="A73" s="59" t="str">
        <f>'MM CALC'!A69</f>
        <v>4.6.3</v>
      </c>
      <c r="B73" s="59" t="str">
        <f>'MM CALC'!B69</f>
        <v>SEINFRA</v>
      </c>
      <c r="C73" s="56" t="str">
        <f>'MM CALC'!C69</f>
        <v>ED-51155</v>
      </c>
      <c r="D73" s="107" t="str">
        <f>'MM CALC'!D69</f>
        <v>VIDRO COMUM LISO INCOLOR, ESP. 3MM, INCLUSIVE FIXAÇÃO E VEDAÇÃO COM GUARNIÇÃO/GAXETA DE BORRACHA NEOPREME, FORNECIMENTO E INSTALAÇÃO, EXCLUSIVE CAIXILHO/PERFIL</v>
      </c>
      <c r="E73" s="56" t="str">
        <f>'MM CALC'!E69</f>
        <v>m²</v>
      </c>
      <c r="F73" s="60">
        <f>'MM CALC'!F69</f>
        <v>12.494399999999999</v>
      </c>
      <c r="G73" s="61"/>
      <c r="H73" s="61">
        <f t="shared" si="16"/>
        <v>0</v>
      </c>
      <c r="I73" s="61">
        <f t="shared" si="18"/>
        <v>0</v>
      </c>
      <c r="K73" s="162"/>
    </row>
    <row r="74" spans="1:11" s="62" customFormat="1" ht="22.5" x14ac:dyDescent="0.2">
      <c r="A74" s="59" t="str">
        <f>'MM CALC'!A70</f>
        <v>4.6.4</v>
      </c>
      <c r="B74" s="59" t="str">
        <f>'MM CALC'!B70</f>
        <v>SEINFRA</v>
      </c>
      <c r="C74" s="56" t="str">
        <f>'MM CALC'!C70</f>
        <v>ED-48162</v>
      </c>
      <c r="D74" s="107" t="str">
        <f>'MM CALC'!D70</f>
        <v>BARRA DE APOIO EM AÇO INOX PARA P.N.E. L=90CM (VASO SANITÁRIO)</v>
      </c>
      <c r="E74" s="56" t="str">
        <f>'MM CALC'!E70</f>
        <v>u</v>
      </c>
      <c r="F74" s="60">
        <f>'MM CALC'!F70</f>
        <v>4</v>
      </c>
      <c r="G74" s="61"/>
      <c r="H74" s="61">
        <f t="shared" si="16"/>
        <v>0</v>
      </c>
      <c r="I74" s="61">
        <f t="shared" si="18"/>
        <v>0</v>
      </c>
      <c r="K74" s="162"/>
    </row>
    <row r="75" spans="1:11" s="62" customFormat="1" ht="11.25" x14ac:dyDescent="0.2">
      <c r="A75" s="59" t="str">
        <f>'MM CALC'!A71</f>
        <v>4.6.5</v>
      </c>
      <c r="B75" s="59" t="str">
        <f>'MM CALC'!B71</f>
        <v>SEINFRA</v>
      </c>
      <c r="C75" s="56" t="str">
        <f>'MM CALC'!C71</f>
        <v>ED-48163</v>
      </c>
      <c r="D75" s="107" t="str">
        <f>'MM CALC'!D71</f>
        <v>BARRA DE APOIO P.N.E. L = 40 CM (PORTA)</v>
      </c>
      <c r="E75" s="56" t="str">
        <f>'MM CALC'!E71</f>
        <v>u</v>
      </c>
      <c r="F75" s="60">
        <f>'MM CALC'!F71</f>
        <v>2</v>
      </c>
      <c r="G75" s="61"/>
      <c r="H75" s="61">
        <f t="shared" si="16"/>
        <v>0</v>
      </c>
      <c r="I75" s="61">
        <f t="shared" si="18"/>
        <v>0</v>
      </c>
      <c r="K75" s="162"/>
    </row>
    <row r="76" spans="1:11" s="62" customFormat="1" ht="22.5" x14ac:dyDescent="0.2">
      <c r="A76" s="59" t="str">
        <f>'MM CALC'!A72</f>
        <v>4.6.6</v>
      </c>
      <c r="B76" s="59" t="str">
        <f>'MM CALC'!B72</f>
        <v>SEINFRA</v>
      </c>
      <c r="C76" s="56" t="str">
        <f>'MM CALC'!C72</f>
        <v>ED-48167</v>
      </c>
      <c r="D76" s="107" t="str">
        <f>'MM CALC'!D72</f>
        <v>BARRA DE APOIO LAVATÓRIO DE CANTO, EM AÇO INOX POLIDO, DIAMETRO MINIMO 3 CM</v>
      </c>
      <c r="E76" s="56" t="str">
        <f>'MM CALC'!E72</f>
        <v>u</v>
      </c>
      <c r="F76" s="60">
        <f>'MM CALC'!F72</f>
        <v>2</v>
      </c>
      <c r="G76" s="61"/>
      <c r="H76" s="61">
        <f t="shared" si="16"/>
        <v>0</v>
      </c>
      <c r="I76" s="61">
        <f t="shared" si="18"/>
        <v>0</v>
      </c>
      <c r="K76" s="162"/>
    </row>
    <row r="77" spans="1:11" s="62" customFormat="1" ht="22.5" x14ac:dyDescent="0.2">
      <c r="A77" s="59" t="str">
        <f>'MM CALC'!A73</f>
        <v>4.6.7</v>
      </c>
      <c r="B77" s="59" t="str">
        <f>'MM CALC'!B73</f>
        <v>SEINFRA</v>
      </c>
      <c r="C77" s="56" t="str">
        <f>'MM CALC'!C73</f>
        <v>ED-48339</v>
      </c>
      <c r="D77" s="107" t="str">
        <f>'MM CALC'!D73</f>
        <v>BANCADA EM ARDÓSIA E=3CM, L=55CM, APOIADA EM CONSOLE DE METALON</v>
      </c>
      <c r="E77" s="56" t="str">
        <f>'MM CALC'!E73</f>
        <v>m²</v>
      </c>
      <c r="F77" s="60">
        <f>'MM CALC'!F73</f>
        <v>1.17</v>
      </c>
      <c r="G77" s="61"/>
      <c r="H77" s="61">
        <f t="shared" si="16"/>
        <v>0</v>
      </c>
      <c r="I77" s="61">
        <f t="shared" si="18"/>
        <v>0</v>
      </c>
      <c r="K77" s="162"/>
    </row>
    <row r="78" spans="1:11" s="62" customFormat="1" ht="11.25" x14ac:dyDescent="0.2">
      <c r="A78" s="59" t="str">
        <f>'MM CALC'!A74</f>
        <v>4.6.8</v>
      </c>
      <c r="B78" s="59" t="str">
        <f>'MM CALC'!B74</f>
        <v>SEINFRA</v>
      </c>
      <c r="C78" s="56" t="str">
        <f>'MM CALC'!C74</f>
        <v>ED-48182</v>
      </c>
      <c r="D78" s="107" t="str">
        <f>'MM CALC'!D74</f>
        <v>DISPENSER EM PLÁSTICO PARA PAPEL TOALHA 2 OU 3 FOLHAS</v>
      </c>
      <c r="E78" s="56" t="str">
        <f>'MM CALC'!E74</f>
        <v>u</v>
      </c>
      <c r="F78" s="60">
        <f>'MM CALC'!F74</f>
        <v>2</v>
      </c>
      <c r="G78" s="61"/>
      <c r="H78" s="61">
        <f t="shared" si="16"/>
        <v>0</v>
      </c>
      <c r="I78" s="61">
        <f t="shared" si="18"/>
        <v>0</v>
      </c>
      <c r="K78" s="162"/>
    </row>
    <row r="79" spans="1:11" s="62" customFormat="1" ht="22.5" x14ac:dyDescent="0.2">
      <c r="A79" s="59" t="str">
        <f>'MM CALC'!A75</f>
        <v>4.6.9</v>
      </c>
      <c r="B79" s="59" t="str">
        <f>'MM CALC'!B75</f>
        <v>SEINFRA</v>
      </c>
      <c r="C79" s="56" t="str">
        <f>'MM CALC'!C75</f>
        <v>ED-48183</v>
      </c>
      <c r="D79" s="107" t="str">
        <f>'MM CALC'!D75</f>
        <v>PAPELEIRA PLASTICA TIPO DISPENSER PARA PAPEL HIGIENICO ROLAO</v>
      </c>
      <c r="E79" s="56" t="str">
        <f>'MM CALC'!E75</f>
        <v>u</v>
      </c>
      <c r="F79" s="60">
        <f>'MM CALC'!F75</f>
        <v>2</v>
      </c>
      <c r="G79" s="61"/>
      <c r="H79" s="61">
        <f t="shared" si="16"/>
        <v>0</v>
      </c>
      <c r="I79" s="61">
        <f t="shared" si="18"/>
        <v>0</v>
      </c>
      <c r="K79" s="162"/>
    </row>
    <row r="80" spans="1:11" s="62" customFormat="1" ht="67.5" x14ac:dyDescent="0.2">
      <c r="A80" s="59" t="str">
        <f>'MM CALC'!A76</f>
        <v>4.6.10</v>
      </c>
      <c r="B80" s="59" t="str">
        <f>'MM CALC'!B76</f>
        <v>SEINFRA</v>
      </c>
      <c r="C80" s="56" t="str">
        <f>'MM CALC'!C76</f>
        <v>ED-50281</v>
      </c>
      <c r="D80" s="107" t="str">
        <f>'MM CALC'!D76</f>
        <v>LAVATÓRIO DE LOUÇA BRANCA SEM COLUNA, TAMANHO PEQUENO, INCLUSIVE ACESSÓRIOS DE FIXAÇÃO, VÁLVULA DE ESCOAMENTO DE METAL COM ACABAMENTO CROMADO, SIFÃO DE METAL TIPO COPO COM ACABAMENTO CROMADO, FORNECIMENTO, INSTALAÇÃO E REJUNTAMENTO, EXCLUSIVE TORNEIRA E ENGATE FLEXÍVEL</v>
      </c>
      <c r="E80" s="56" t="str">
        <f>'MM CALC'!E76</f>
        <v>u</v>
      </c>
      <c r="F80" s="60">
        <f>'MM CALC'!F76</f>
        <v>2</v>
      </c>
      <c r="G80" s="61"/>
      <c r="H80" s="61">
        <f t="shared" si="16"/>
        <v>0</v>
      </c>
      <c r="I80" s="61">
        <f t="shared" si="18"/>
        <v>0</v>
      </c>
      <c r="K80" s="162"/>
    </row>
    <row r="81" spans="1:11" s="62" customFormat="1" ht="22.5" x14ac:dyDescent="0.2">
      <c r="A81" s="59" t="str">
        <f>'MM CALC'!A77</f>
        <v>4.6.11</v>
      </c>
      <c r="B81" s="59" t="str">
        <f>'MM CALC'!B77</f>
        <v>SEINFRA</v>
      </c>
      <c r="C81" s="56" t="str">
        <f>'MM CALC'!C77</f>
        <v>ED-48189</v>
      </c>
      <c r="D81" s="107" t="str">
        <f>'MM CALC'!D77</f>
        <v>SABONETEIRA PLASTICA TIPO DISPENSER PARA SABONETE LIQUIDO COM RESERVATORIO 1500 ML</v>
      </c>
      <c r="E81" s="56" t="str">
        <f>'MM CALC'!E77</f>
        <v>u</v>
      </c>
      <c r="F81" s="60">
        <f>'MM CALC'!F77</f>
        <v>2</v>
      </c>
      <c r="G81" s="61"/>
      <c r="H81" s="61">
        <f t="shared" si="16"/>
        <v>0</v>
      </c>
      <c r="I81" s="61">
        <f t="shared" si="18"/>
        <v>0</v>
      </c>
      <c r="K81" s="162"/>
    </row>
    <row r="82" spans="1:11" s="62" customFormat="1" ht="56.25" x14ac:dyDescent="0.2">
      <c r="A82" s="59" t="str">
        <f>'MM CALC'!A78</f>
        <v>4.6.12</v>
      </c>
      <c r="B82" s="59" t="str">
        <f>'MM CALC'!B78</f>
        <v>SEINFRA</v>
      </c>
      <c r="C82" s="56" t="str">
        <f>'MM CALC'!C78</f>
        <v>ED-50278</v>
      </c>
      <c r="D82" s="107" t="str">
        <f>'MM CALC'!D78</f>
        <v>CUBA EM AÇO INOXIDÁVEL DE EMBUTIR, AISI 304, APLICAÇÃO PARA PIA (560X330X115MM), NÚMERO 2, ASSENTAMENTO EM BANCADA, INCLUSIVE VÁLVULA DE ESCOAMENTO DE METAL COM ACABAMENTO CROMADO, SIFÃO DE METAL TIPO COPO COM ACABAMENTO CROMADO, FORNECIMENTO E INSTALAÇÃO</v>
      </c>
      <c r="E82" s="56" t="str">
        <f>'MM CALC'!E78</f>
        <v>u</v>
      </c>
      <c r="F82" s="60">
        <f>'MM CALC'!F78</f>
        <v>1</v>
      </c>
      <c r="G82" s="61"/>
      <c r="H82" s="61">
        <f t="shared" si="16"/>
        <v>0</v>
      </c>
      <c r="I82" s="61">
        <f t="shared" si="18"/>
        <v>0</v>
      </c>
      <c r="K82" s="162"/>
    </row>
    <row r="83" spans="1:11" s="62" customFormat="1" ht="33.75" x14ac:dyDescent="0.2">
      <c r="A83" s="59" t="str">
        <f>'MM CALC'!A79</f>
        <v>4.6.13</v>
      </c>
      <c r="B83" s="59" t="str">
        <f>'MM CALC'!B79</f>
        <v>SEINFRA</v>
      </c>
      <c r="C83" s="56" t="str">
        <f>'MM CALC'!C79</f>
        <v>ED-50330</v>
      </c>
      <c r="D83" s="107" t="str">
        <f>'MM CALC'!D79</f>
        <v>TORNEIRA METÁLICA PARA LAVATÓRIO, ACABAMENTO CROMADO, COM AREJADOR, APLICAÇÃO DE MESA, INCLUSIVE ENGATE FLEXÍVEL METÁLICO, FORNECIMENTO E INSTALAÇÃO</v>
      </c>
      <c r="E83" s="56" t="str">
        <f>'MM CALC'!E79</f>
        <v>u</v>
      </c>
      <c r="F83" s="60">
        <f>'MM CALC'!F79</f>
        <v>2</v>
      </c>
      <c r="G83" s="61"/>
      <c r="H83" s="61">
        <f t="shared" si="16"/>
        <v>0</v>
      </c>
      <c r="I83" s="61">
        <f t="shared" si="18"/>
        <v>0</v>
      </c>
      <c r="K83" s="162"/>
    </row>
    <row r="84" spans="1:11" s="62" customFormat="1" ht="33.75" x14ac:dyDescent="0.2">
      <c r="A84" s="59" t="str">
        <f>'MM CALC'!A80</f>
        <v>4.6.14</v>
      </c>
      <c r="B84" s="59" t="str">
        <f>'MM CALC'!B80</f>
        <v>SEINFRA</v>
      </c>
      <c r="C84" s="56" t="str">
        <f>'MM CALC'!C80</f>
        <v>ED-50326</v>
      </c>
      <c r="D84" s="107" t="str">
        <f>'MM CALC'!D80</f>
        <v>TORNEIRA METÁLICA PARA PIA, ACABAMENTO CROMADO, COM AREJADOR, APLICAÇÃO DE PAREDE, INCLUSIVE FORNECIMENTO E INSTALAÇÃO</v>
      </c>
      <c r="E84" s="56" t="str">
        <f>'MM CALC'!E80</f>
        <v>u</v>
      </c>
      <c r="F84" s="60">
        <f>'MM CALC'!F80</f>
        <v>1</v>
      </c>
      <c r="G84" s="61"/>
      <c r="H84" s="61">
        <f t="shared" si="16"/>
        <v>0</v>
      </c>
      <c r="I84" s="61">
        <f t="shared" si="18"/>
        <v>0</v>
      </c>
      <c r="K84" s="162"/>
    </row>
    <row r="85" spans="1:11" s="62" customFormat="1" ht="33.75" x14ac:dyDescent="0.2">
      <c r="A85" s="59" t="str">
        <f>'MM CALC'!A81</f>
        <v>4.6.15</v>
      </c>
      <c r="B85" s="59" t="str">
        <f>'MM CALC'!B81</f>
        <v>SEINFRA</v>
      </c>
      <c r="C85" s="56" t="str">
        <f>'MM CALC'!C81</f>
        <v>ED-50331</v>
      </c>
      <c r="D85" s="107" t="str">
        <f>'MM CALC'!D81</f>
        <v>TORNEIRA METÁLICA PARA TANQUE, ACABAMENTO CROMADO, INCLUSIVE ENGATE FLEXÍVEL METÁLICO, FORNECIMENTO E INSTALAÇÃO</v>
      </c>
      <c r="E85" s="56" t="str">
        <f>'MM CALC'!E81</f>
        <v>u</v>
      </c>
      <c r="F85" s="60">
        <f>'MM CALC'!F81</f>
        <v>1</v>
      </c>
      <c r="G85" s="61"/>
      <c r="H85" s="61">
        <f t="shared" si="16"/>
        <v>0</v>
      </c>
      <c r="I85" s="61">
        <f t="shared" si="18"/>
        <v>0</v>
      </c>
      <c r="K85" s="162"/>
    </row>
    <row r="86" spans="1:11" s="62" customFormat="1" ht="45" x14ac:dyDescent="0.2">
      <c r="A86" s="59" t="str">
        <f>'MM CALC'!A82</f>
        <v>4.6.16</v>
      </c>
      <c r="B86" s="59" t="str">
        <f>'MM CALC'!B82</f>
        <v>SEINFRA</v>
      </c>
      <c r="C86" s="56" t="str">
        <f>'MM CALC'!C82</f>
        <v>ED-50289</v>
      </c>
      <c r="D86" s="107" t="str">
        <f>'MM CALC'!D82</f>
        <v>TANQUE DE LOUÇA BRANCA COM COLUNA, CAPACIDADE 22 LITROS, INCLUSIVE ACESSÓRIOS DE FIXAÇÃO, FORNECIMENTO, INSTALAÇÃO E REJUNTAMENTO, EXCLUSIVE TORNEIRA, VÁLVULA DE ESCOAMENTO E SIFÃO</v>
      </c>
      <c r="E86" s="56" t="str">
        <f>'MM CALC'!E82</f>
        <v>u</v>
      </c>
      <c r="F86" s="60">
        <f>'MM CALC'!F82</f>
        <v>1</v>
      </c>
      <c r="G86" s="61"/>
      <c r="H86" s="61">
        <f t="shared" si="16"/>
        <v>0</v>
      </c>
      <c r="I86" s="61">
        <f t="shared" si="18"/>
        <v>0</v>
      </c>
      <c r="K86" s="162"/>
    </row>
    <row r="87" spans="1:11" s="62" customFormat="1" ht="11.25" x14ac:dyDescent="0.2">
      <c r="A87" s="59" t="str">
        <f>'MM CALC'!A83</f>
        <v>4.6.17</v>
      </c>
      <c r="B87" s="59" t="str">
        <f>'MM CALC'!B83</f>
        <v>SEINFRA</v>
      </c>
      <c r="C87" s="56" t="str">
        <f>'MM CALC'!C83</f>
        <v>ED-48169</v>
      </c>
      <c r="D87" s="107" t="str">
        <f>'MM CALC'!D83</f>
        <v>BEBEDOURO GEMINADO MG-F 80 INOX</v>
      </c>
      <c r="E87" s="56" t="str">
        <f>'MM CALC'!E83</f>
        <v>u</v>
      </c>
      <c r="F87" s="60">
        <f>'MM CALC'!F83</f>
        <v>1</v>
      </c>
      <c r="G87" s="61"/>
      <c r="H87" s="61">
        <f t="shared" si="16"/>
        <v>0</v>
      </c>
      <c r="I87" s="61">
        <f t="shared" si="18"/>
        <v>0</v>
      </c>
      <c r="K87" s="162"/>
    </row>
    <row r="88" spans="1:11" s="62" customFormat="1" ht="45" x14ac:dyDescent="0.2">
      <c r="A88" s="59" t="str">
        <f>'MM CALC'!A84</f>
        <v>4.6.18</v>
      </c>
      <c r="B88" s="59" t="str">
        <f>'MM CALC'!B84</f>
        <v>SEINFRA</v>
      </c>
      <c r="C88" s="56" t="str">
        <f>'MM CALC'!C84</f>
        <v>ED-50297</v>
      </c>
      <c r="D88" s="107" t="str">
        <f>'MM CALC'!D84</f>
        <v>BACIA SANITÁRIA (VASO) DE LOUÇA COM CAIXA ACOPLADA, COR BRANCA, INCLUSIVE ACESSÓRIOS DE FIXAÇÃO/VEDAÇÃO, ENGATE FLEXÍVEL METÁLICO, FORNECIMENTO, INSTALAÇÃO E REJUNTAMENTO</v>
      </c>
      <c r="E88" s="56" t="str">
        <f>'MM CALC'!E84</f>
        <v>u</v>
      </c>
      <c r="F88" s="60">
        <f>'MM CALC'!F84</f>
        <v>2</v>
      </c>
      <c r="G88" s="61"/>
      <c r="H88" s="61">
        <f t="shared" si="16"/>
        <v>0</v>
      </c>
      <c r="I88" s="61">
        <f t="shared" si="18"/>
        <v>0</v>
      </c>
      <c r="K88" s="162"/>
    </row>
    <row r="89" spans="1:11" s="62" customFormat="1" ht="11.25" x14ac:dyDescent="0.2">
      <c r="A89" s="59" t="str">
        <f>'MM CALC'!A85</f>
        <v>4.6.19</v>
      </c>
      <c r="B89" s="59" t="str">
        <f>'MM CALC'!B85</f>
        <v>SEINFRA</v>
      </c>
      <c r="C89" s="56" t="str">
        <f>'MM CALC'!C85</f>
        <v>ED-51151</v>
      </c>
      <c r="D89" s="107" t="str">
        <f>'MM CALC'!D85</f>
        <v>ESPELHO COM MOLDURA EM ALUMÍNIO PARA PNE (60 X 90)CM</v>
      </c>
      <c r="E89" s="56" t="str">
        <f>'MM CALC'!E85</f>
        <v>u</v>
      </c>
      <c r="F89" s="60">
        <f>'MM CALC'!F85</f>
        <v>2</v>
      </c>
      <c r="G89" s="61"/>
      <c r="H89" s="61">
        <f t="shared" si="16"/>
        <v>0</v>
      </c>
      <c r="I89" s="61">
        <f t="shared" si="18"/>
        <v>0</v>
      </c>
      <c r="K89" s="162"/>
    </row>
    <row r="90" spans="1:11" s="62" customFormat="1" ht="33.75" x14ac:dyDescent="0.2">
      <c r="A90" s="59" t="str">
        <f>'MM CALC'!A86</f>
        <v>4.6.20</v>
      </c>
      <c r="B90" s="59" t="str">
        <f>'MM CALC'!B86</f>
        <v>SEINFRA</v>
      </c>
      <c r="C90" s="56" t="str">
        <f>'MM CALC'!C86</f>
        <v>ED-49600</v>
      </c>
      <c r="D90" s="107" t="str">
        <f>'MM CALC'!D86</f>
        <v>PORTA DE ABRIR, MADEIRA DE LEI PRANCHETA PARA PINTURA COMPLETA 60 X 210 CM, COM FERRAGENS EM FERRO LATONADO</v>
      </c>
      <c r="E90" s="56" t="str">
        <f>'MM CALC'!E86</f>
        <v>u</v>
      </c>
      <c r="F90" s="60">
        <f>'MM CALC'!F86</f>
        <v>1</v>
      </c>
      <c r="G90" s="61"/>
      <c r="H90" s="61">
        <f t="shared" si="16"/>
        <v>0</v>
      </c>
      <c r="I90" s="61">
        <f t="shared" si="18"/>
        <v>0</v>
      </c>
      <c r="K90" s="162"/>
    </row>
    <row r="91" spans="1:11" s="62" customFormat="1" ht="33.75" x14ac:dyDescent="0.2">
      <c r="A91" s="59" t="str">
        <f>'MM CALC'!A87</f>
        <v>4.6.21</v>
      </c>
      <c r="B91" s="59" t="str">
        <f>'MM CALC'!B87</f>
        <v>SEINFRA</v>
      </c>
      <c r="C91" s="56" t="str">
        <f>'MM CALC'!C87</f>
        <v>ED-49602</v>
      </c>
      <c r="D91" s="107" t="str">
        <f>'MM CALC'!D87</f>
        <v>PORTA DE ABRIR, MADEIRA DE LEI PRANCHETA PARA PINTURA COMPLETA 80 X 210 CM, COM FERRAGENS EM FERRO LATONADO</v>
      </c>
      <c r="E91" s="56" t="str">
        <f>'MM CALC'!E87</f>
        <v>u</v>
      </c>
      <c r="F91" s="60">
        <f>'MM CALC'!F87</f>
        <v>2</v>
      </c>
      <c r="G91" s="61"/>
      <c r="H91" s="61">
        <f t="shared" si="16"/>
        <v>0</v>
      </c>
      <c r="I91" s="61">
        <f t="shared" si="18"/>
        <v>0</v>
      </c>
      <c r="K91" s="162"/>
    </row>
    <row r="92" spans="1:11" s="62" customFormat="1" ht="33.75" x14ac:dyDescent="0.2">
      <c r="A92" s="59" t="str">
        <f>'MM CALC'!A88</f>
        <v>4.6.22</v>
      </c>
      <c r="B92" s="59" t="str">
        <f>'MM CALC'!B88</f>
        <v>SEINFRA</v>
      </c>
      <c r="C92" s="56" t="str">
        <f>'MM CALC'!C88</f>
        <v>ED-49603</v>
      </c>
      <c r="D92" s="107" t="str">
        <f>'MM CALC'!D88</f>
        <v>PORTA DE ABRIR, MADEIRA DE LEI PRANCHETA PARA PINTURA COMPLETA 90 X 210 CM, COM FERRAGENS EM FERRO LATONADO</v>
      </c>
      <c r="E92" s="56" t="str">
        <f>'MM CALC'!E88</f>
        <v>u</v>
      </c>
      <c r="F92" s="60">
        <f>'MM CALC'!F88</f>
        <v>2</v>
      </c>
      <c r="G92" s="61"/>
      <c r="H92" s="61">
        <f t="shared" si="16"/>
        <v>0</v>
      </c>
      <c r="I92" s="61">
        <f t="shared" si="18"/>
        <v>0</v>
      </c>
      <c r="K92" s="162"/>
    </row>
    <row r="93" spans="1:11" s="63" customFormat="1" ht="33.75" x14ac:dyDescent="0.2">
      <c r="A93" s="59" t="str">
        <f>'MM CALC'!A89</f>
        <v>4.6.23</v>
      </c>
      <c r="B93" s="59" t="str">
        <f>'MM CALC'!B89</f>
        <v>SEINFRA</v>
      </c>
      <c r="C93" s="56" t="str">
        <f>'MM CALC'!C89</f>
        <v>ED-50493</v>
      </c>
      <c r="D93" s="107" t="str">
        <f>'MM CALC'!D89</f>
        <v>PINTURA ESMALTE EM ESQUADRIA DE MADEIRA, DUAS (2) DEMÃOS, INCLUSIVE UMA (1) DEMÃO DE FUNDO NIVELADOR, EXCLUSIVE MASSA A ÓLEO</v>
      </c>
      <c r="E93" s="56" t="str">
        <f>'MM CALC'!E89</f>
        <v>m²</v>
      </c>
      <c r="F93" s="60">
        <f>'MM CALC'!F89</f>
        <v>25.200000000000003</v>
      </c>
      <c r="G93" s="61"/>
      <c r="H93" s="61">
        <f t="shared" si="16"/>
        <v>0</v>
      </c>
      <c r="I93" s="61">
        <f t="shared" si="18"/>
        <v>0</v>
      </c>
      <c r="K93" s="164"/>
    </row>
    <row r="94" spans="1:11" s="62" customFormat="1" ht="11.25" x14ac:dyDescent="0.2">
      <c r="A94" s="59" t="str">
        <f>'MM CALC'!A90</f>
        <v>4.6.24</v>
      </c>
      <c r="B94" s="59" t="str">
        <f>'MM CALC'!B90</f>
        <v>SEINFRA</v>
      </c>
      <c r="C94" s="56" t="str">
        <f>'MM CALC'!C90</f>
        <v>ED-50979</v>
      </c>
      <c r="D94" s="107" t="str">
        <f>'MM CALC'!D90</f>
        <v>PORTA EM PERFIL E CHAPA METÁLICA</v>
      </c>
      <c r="E94" s="56" t="str">
        <f>'MM CALC'!E90</f>
        <v>m²</v>
      </c>
      <c r="F94" s="60">
        <f>'MM CALC'!F90</f>
        <v>20.814999999999998</v>
      </c>
      <c r="G94" s="61"/>
      <c r="H94" s="61">
        <f t="shared" si="16"/>
        <v>0</v>
      </c>
      <c r="I94" s="61">
        <f t="shared" si="18"/>
        <v>0</v>
      </c>
      <c r="K94" s="162"/>
    </row>
    <row r="95" spans="1:11" s="62" customFormat="1" ht="22.5" x14ac:dyDescent="0.2">
      <c r="A95" s="59" t="str">
        <f>'MM CALC'!A91</f>
        <v>4.6.25</v>
      </c>
      <c r="B95" s="59" t="str">
        <f>'MM CALC'!B91</f>
        <v>SEINFRA</v>
      </c>
      <c r="C95" s="56" t="str">
        <f>'MM CALC'!C91</f>
        <v>ED-50491</v>
      </c>
      <c r="D95" s="107" t="str">
        <f>'MM CALC'!D91</f>
        <v>PINTURA ESMALTE EM ESQUADRIAS DE FERRO, DUAS (2 ) DEMÃOS, INCLUSIVE UMA (1) DEMÃO DE FUNDO ANTICORROSIVO</v>
      </c>
      <c r="E95" s="56" t="str">
        <f>'MM CALC'!E91</f>
        <v>m²</v>
      </c>
      <c r="F95" s="60">
        <f>'MM CALC'!F91</f>
        <v>54.124399999999994</v>
      </c>
      <c r="G95" s="61"/>
      <c r="H95" s="61">
        <f t="shared" si="16"/>
        <v>0</v>
      </c>
      <c r="I95" s="61">
        <f t="shared" si="18"/>
        <v>0</v>
      </c>
      <c r="K95" s="162"/>
    </row>
    <row r="96" spans="1:11" s="71" customFormat="1" ht="11.25" x14ac:dyDescent="0.2">
      <c r="A96" s="58">
        <f>'MM CALC'!A92</f>
        <v>5</v>
      </c>
      <c r="B96" s="58"/>
      <c r="C96" s="100"/>
      <c r="D96" s="201" t="str">
        <f>'MM CALC'!D92</f>
        <v>INSTALAÇÕES ELÉTRICAS</v>
      </c>
      <c r="E96" s="100"/>
      <c r="F96" s="60"/>
      <c r="G96" s="70"/>
      <c r="H96" s="70"/>
      <c r="I96" s="70">
        <f>SUM(I97:I113)</f>
        <v>0</v>
      </c>
      <c r="K96" s="161"/>
    </row>
    <row r="97" spans="1:11" s="62" customFormat="1" ht="33.75" x14ac:dyDescent="0.2">
      <c r="A97" s="59" t="str">
        <f>'MM CALC'!A93</f>
        <v>5.1</v>
      </c>
      <c r="B97" s="59" t="str">
        <f>'MM CALC'!B93</f>
        <v>SEINFRA</v>
      </c>
      <c r="C97" s="56" t="str">
        <f>'MM CALC'!C93</f>
        <v>ED-13345</v>
      </c>
      <c r="D97" s="107" t="str">
        <f>'MM CALC'!D93</f>
        <v>LUMINÁRIA ARANDELA TIPO MEIA-LUA COMPLETA, DIÂMETRO 25 CM, PARA UMA (1) LÂMPADA LED, POTÊNCIA 15W, BULBO A65, FORNECIMENTO E INSTALAÇÃO, INCLUSIVE BASE E LÂMPADA</v>
      </c>
      <c r="E97" s="56" t="str">
        <f>'MM CALC'!E93</f>
        <v>u</v>
      </c>
      <c r="F97" s="60">
        <f>'MM CALC'!F93</f>
        <v>10</v>
      </c>
      <c r="G97" s="61"/>
      <c r="H97" s="61">
        <f t="shared" si="16"/>
        <v>0</v>
      </c>
      <c r="I97" s="61">
        <f t="shared" ref="I97:I113" si="19">ROUND((F97*H97),2)</f>
        <v>0</v>
      </c>
      <c r="K97" s="162"/>
    </row>
    <row r="98" spans="1:11" s="62" customFormat="1" ht="45" x14ac:dyDescent="0.2">
      <c r="A98" s="59" t="str">
        <f>'MM CALC'!A94</f>
        <v>5.2</v>
      </c>
      <c r="B98" s="59" t="str">
        <f>'MM CALC'!B94</f>
        <v>SEINFRA</v>
      </c>
      <c r="C98" s="56" t="str">
        <f>'MM CALC'!C94</f>
        <v>ED-13354</v>
      </c>
      <c r="D98" s="107" t="str">
        <f>'MM CALC'!D94</f>
        <v>LUMINÁRIA TIPO DROPS COM BASE SUPORTE GALVANIZADA E GLOBO LEITOSO COMPLETA, PARA UMA (1) LÂMPADA LED, POTÊNCIA 15W, BULBO A65, FORNECIMENTO E INSTALAÇÃO, INCLUSIVE BASE E LÂMPADA</v>
      </c>
      <c r="E98" s="56" t="str">
        <f>'MM CALC'!E94</f>
        <v>u</v>
      </c>
      <c r="F98" s="60">
        <f>'MM CALC'!F94</f>
        <v>11</v>
      </c>
      <c r="G98" s="61"/>
      <c r="H98" s="61">
        <f t="shared" si="16"/>
        <v>0</v>
      </c>
      <c r="I98" s="61">
        <f t="shared" si="19"/>
        <v>0</v>
      </c>
      <c r="K98" s="162"/>
    </row>
    <row r="99" spans="1:11" s="62" customFormat="1" ht="11.25" x14ac:dyDescent="0.2">
      <c r="A99" s="59" t="str">
        <f>'MM CALC'!A95</f>
        <v>5.3</v>
      </c>
      <c r="B99" s="59" t="str">
        <f>'MM CALC'!B95</f>
        <v>SEINFRA</v>
      </c>
      <c r="C99" s="56" t="str">
        <f>'MM CALC'!C95</f>
        <v>ED-49344</v>
      </c>
      <c r="D99" s="107" t="str">
        <f>'MM CALC'!D95</f>
        <v>INTERRUPTOR, UMA TECLA SIMPLES 10 A - 250 V, SEM PLACA</v>
      </c>
      <c r="E99" s="56" t="str">
        <f>'MM CALC'!E95</f>
        <v>u</v>
      </c>
      <c r="F99" s="60">
        <f>'MM CALC'!F95</f>
        <v>4</v>
      </c>
      <c r="G99" s="61"/>
      <c r="H99" s="61">
        <f t="shared" si="16"/>
        <v>0</v>
      </c>
      <c r="I99" s="61">
        <f t="shared" si="19"/>
        <v>0</v>
      </c>
      <c r="K99" s="162"/>
    </row>
    <row r="100" spans="1:11" s="62" customFormat="1" ht="11.25" x14ac:dyDescent="0.2">
      <c r="A100" s="59" t="str">
        <f>'MM CALC'!A96</f>
        <v>5.4</v>
      </c>
      <c r="B100" s="59" t="str">
        <f>'MM CALC'!B96</f>
        <v>SEINFRA</v>
      </c>
      <c r="C100" s="56" t="str">
        <f>'MM CALC'!C96</f>
        <v>ED-49362</v>
      </c>
      <c r="D100" s="107" t="str">
        <f>'MM CALC'!D96</f>
        <v>INTERRUPTOR DUAS TECLAS SIMPLES 10 A - 250 V</v>
      </c>
      <c r="E100" s="56" t="str">
        <f>'MM CALC'!E96</f>
        <v>u</v>
      </c>
      <c r="F100" s="60">
        <f>'MM CALC'!F96</f>
        <v>3</v>
      </c>
      <c r="G100" s="61"/>
      <c r="H100" s="61">
        <f t="shared" si="16"/>
        <v>0</v>
      </c>
      <c r="I100" s="61">
        <f t="shared" si="19"/>
        <v>0</v>
      </c>
      <c r="K100" s="162"/>
    </row>
    <row r="101" spans="1:11" s="62" customFormat="1" ht="11.25" x14ac:dyDescent="0.2">
      <c r="A101" s="59" t="str">
        <f>'MM CALC'!A97</f>
        <v>5.5</v>
      </c>
      <c r="B101" s="59" t="str">
        <f>'MM CALC'!B97</f>
        <v>SEINFRA</v>
      </c>
      <c r="C101" s="56" t="str">
        <f>'MM CALC'!C97</f>
        <v>ED-49368</v>
      </c>
      <c r="D101" s="107" t="str">
        <f>'MM CALC'!D97</f>
        <v>INTERRUPTOR TRÊS TECLAS SIMPLES 10 A - 250 V</v>
      </c>
      <c r="E101" s="56" t="str">
        <f>'MM CALC'!E97</f>
        <v>u</v>
      </c>
      <c r="F101" s="60">
        <f>'MM CALC'!F97</f>
        <v>1</v>
      </c>
      <c r="G101" s="61"/>
      <c r="H101" s="61">
        <f t="shared" si="16"/>
        <v>0</v>
      </c>
      <c r="I101" s="61">
        <f t="shared" si="19"/>
        <v>0</v>
      </c>
      <c r="K101" s="162"/>
    </row>
    <row r="102" spans="1:11" s="62" customFormat="1" ht="11.25" x14ac:dyDescent="0.2">
      <c r="A102" s="59" t="str">
        <f>'MM CALC'!A98</f>
        <v>5.6</v>
      </c>
      <c r="B102" s="59" t="str">
        <f>'MM CALC'!B98</f>
        <v>SEINFRA</v>
      </c>
      <c r="C102" s="56" t="str">
        <f>'MM CALC'!C98</f>
        <v>ED-49530</v>
      </c>
      <c r="D102" s="107" t="str">
        <f>'MM CALC'!D98</f>
        <v>TOMADA SIMPLES - 2P + T - 10A SEM PLACA</v>
      </c>
      <c r="E102" s="56" t="str">
        <f>'MM CALC'!E98</f>
        <v>u</v>
      </c>
      <c r="F102" s="60">
        <f>'MM CALC'!F98</f>
        <v>19</v>
      </c>
      <c r="G102" s="61"/>
      <c r="H102" s="61">
        <f t="shared" si="16"/>
        <v>0</v>
      </c>
      <c r="I102" s="61">
        <f t="shared" si="19"/>
        <v>0</v>
      </c>
      <c r="K102" s="162"/>
    </row>
    <row r="103" spans="1:11" s="62" customFormat="1" ht="22.5" x14ac:dyDescent="0.2">
      <c r="A103" s="59" t="str">
        <f>'MM CALC'!A99</f>
        <v>5.7</v>
      </c>
      <c r="B103" s="59" t="str">
        <f>'MM CALC'!B99</f>
        <v>SEINFRA</v>
      </c>
      <c r="C103" s="56" t="str">
        <f>'MM CALC'!C99</f>
        <v>ED-50228</v>
      </c>
      <c r="D103" s="107" t="str">
        <f>'MM CALC'!D99</f>
        <v>PONTO DE LUZ EMBUTIDO, INCLUINDO ELETRODUTO DE PVC RÍGIDO E CAIXA COM ESPELHO (POR UNIDADE)</v>
      </c>
      <c r="E103" s="56" t="str">
        <f>'MM CALC'!E99</f>
        <v>u</v>
      </c>
      <c r="F103" s="60">
        <f>'MM CALC'!F99</f>
        <v>21</v>
      </c>
      <c r="G103" s="61"/>
      <c r="H103" s="61">
        <f t="shared" si="16"/>
        <v>0</v>
      </c>
      <c r="I103" s="61">
        <f t="shared" si="19"/>
        <v>0</v>
      </c>
      <c r="K103" s="162"/>
    </row>
    <row r="104" spans="1:11" s="62" customFormat="1" ht="22.5" x14ac:dyDescent="0.2">
      <c r="A104" s="59" t="str">
        <f>'MM CALC'!A100</f>
        <v>5.8</v>
      </c>
      <c r="B104" s="59" t="str">
        <f>'MM CALC'!B100</f>
        <v>SEINFRA</v>
      </c>
      <c r="C104" s="56" t="str">
        <f>'MM CALC'!C100</f>
        <v>ED-50227</v>
      </c>
      <c r="D104" s="107" t="str">
        <f>'MM CALC'!D100</f>
        <v>PONTO DE INTERRUPTOR, INCLUINDO ELETRODUTO DE PVC RÍGIDO E CAIXA COM ESPELHO</v>
      </c>
      <c r="E104" s="56" t="str">
        <f>'MM CALC'!E100</f>
        <v>u</v>
      </c>
      <c r="F104" s="60">
        <f>'MM CALC'!F100</f>
        <v>8</v>
      </c>
      <c r="G104" s="61"/>
      <c r="H104" s="61">
        <f t="shared" si="16"/>
        <v>0</v>
      </c>
      <c r="I104" s="61">
        <f t="shared" si="19"/>
        <v>0</v>
      </c>
      <c r="K104" s="162"/>
    </row>
    <row r="105" spans="1:11" s="62" customFormat="1" ht="22.5" x14ac:dyDescent="0.2">
      <c r="A105" s="59" t="str">
        <f>'MM CALC'!A101</f>
        <v>5.9</v>
      </c>
      <c r="B105" s="59" t="str">
        <f>'MM CALC'!B101</f>
        <v>SEINFRA</v>
      </c>
      <c r="C105" s="56" t="str">
        <f>'MM CALC'!C101</f>
        <v>ED-50232</v>
      </c>
      <c r="D105" s="107" t="str">
        <f>'MM CALC'!D101</f>
        <v>PONTO DE TOMADA DE EMBUTIR, INCLUINDO ELETRODUTO DE PVC RÍGIDO E CAIXA COM ESPELHO</v>
      </c>
      <c r="E105" s="56" t="str">
        <f>'MM CALC'!E101</f>
        <v>u</v>
      </c>
      <c r="F105" s="60">
        <f>'MM CALC'!F101</f>
        <v>19</v>
      </c>
      <c r="G105" s="61"/>
      <c r="H105" s="61">
        <f t="shared" si="16"/>
        <v>0</v>
      </c>
      <c r="I105" s="61">
        <f t="shared" si="19"/>
        <v>0</v>
      </c>
      <c r="K105" s="162"/>
    </row>
    <row r="106" spans="1:11" s="62" customFormat="1" ht="11.25" x14ac:dyDescent="0.2">
      <c r="A106" s="59" t="str">
        <f>'MM CALC'!A102</f>
        <v>5.11</v>
      </c>
      <c r="B106" s="59" t="str">
        <f>'MM CALC'!B102</f>
        <v>SEINFRA</v>
      </c>
      <c r="C106" s="56" t="str">
        <f>'MM CALC'!C102</f>
        <v>ED-49228</v>
      </c>
      <c r="D106" s="107" t="str">
        <f>'MM CALC'!D102</f>
        <v>DISJUNTOR MONOPOLAR TERMOMAGNÉTICO 5KA, DE 10A</v>
      </c>
      <c r="E106" s="56" t="str">
        <f>'MM CALC'!E102</f>
        <v>u</v>
      </c>
      <c r="F106" s="60">
        <f>'MM CALC'!F102</f>
        <v>2</v>
      </c>
      <c r="G106" s="61"/>
      <c r="H106" s="61">
        <f t="shared" si="16"/>
        <v>0</v>
      </c>
      <c r="I106" s="61">
        <f t="shared" si="19"/>
        <v>0</v>
      </c>
      <c r="K106" s="162"/>
    </row>
    <row r="107" spans="1:11" s="62" customFormat="1" ht="11.25" x14ac:dyDescent="0.2">
      <c r="A107" s="59" t="str">
        <f>'MM CALC'!A103</f>
        <v>5.12</v>
      </c>
      <c r="B107" s="59" t="str">
        <f>'MM CALC'!B103</f>
        <v>SEINFRA</v>
      </c>
      <c r="C107" s="56" t="str">
        <f>'MM CALC'!C103</f>
        <v>ED-49230</v>
      </c>
      <c r="D107" s="107" t="str">
        <f>'MM CALC'!D103</f>
        <v>DISJUNTOR MONOPOLAR TERMOMAGNÉTICO 5KA, DE 16A</v>
      </c>
      <c r="E107" s="56" t="str">
        <f>'MM CALC'!E103</f>
        <v>u</v>
      </c>
      <c r="F107" s="60">
        <f>'MM CALC'!F103</f>
        <v>2</v>
      </c>
      <c r="G107" s="61"/>
      <c r="H107" s="61">
        <f t="shared" si="16"/>
        <v>0</v>
      </c>
      <c r="I107" s="61">
        <f t="shared" si="19"/>
        <v>0</v>
      </c>
      <c r="K107" s="162"/>
    </row>
    <row r="108" spans="1:11" s="62" customFormat="1" ht="11.25" x14ac:dyDescent="0.2">
      <c r="A108" s="59" t="str">
        <f>'MM CALC'!A104</f>
        <v>5.13</v>
      </c>
      <c r="B108" s="59" t="str">
        <f>'MM CALC'!B104</f>
        <v>SEINFRA</v>
      </c>
      <c r="C108" s="56" t="str">
        <f>'MM CALC'!C104</f>
        <v>ED-49234</v>
      </c>
      <c r="D108" s="107" t="str">
        <f>'MM CALC'!D104</f>
        <v>DISJUNTOR MONOPOLAR TERMOMAGNÉTICO 5KA, DE 32A</v>
      </c>
      <c r="E108" s="56" t="str">
        <f>'MM CALC'!E104</f>
        <v>u</v>
      </c>
      <c r="F108" s="60">
        <f>'MM CALC'!F104</f>
        <v>1</v>
      </c>
      <c r="G108" s="61"/>
      <c r="H108" s="61">
        <f t="shared" si="16"/>
        <v>0</v>
      </c>
      <c r="I108" s="61">
        <f t="shared" si="19"/>
        <v>0</v>
      </c>
      <c r="K108" s="162"/>
    </row>
    <row r="109" spans="1:11" s="62" customFormat="1" ht="11.25" x14ac:dyDescent="0.2">
      <c r="A109" s="59" t="str">
        <f>'MM CALC'!A105</f>
        <v>5.14</v>
      </c>
      <c r="B109" s="59" t="str">
        <f>'MM CALC'!B105</f>
        <v>SEINFRA</v>
      </c>
      <c r="C109" s="56" t="str">
        <f>'MM CALC'!C105</f>
        <v>ED-49237</v>
      </c>
      <c r="D109" s="107" t="str">
        <f>'MM CALC'!D105</f>
        <v>DISJUNTOR MONOPOLAR TERMOMAGNÉTICO 5KA, DE 50A</v>
      </c>
      <c r="E109" s="56" t="str">
        <f>'MM CALC'!E105</f>
        <v>u</v>
      </c>
      <c r="F109" s="60">
        <f>'MM CALC'!F105</f>
        <v>1</v>
      </c>
      <c r="G109" s="61"/>
      <c r="H109" s="61">
        <f t="shared" si="16"/>
        <v>0</v>
      </c>
      <c r="I109" s="61">
        <f t="shared" si="19"/>
        <v>0</v>
      </c>
      <c r="K109" s="162"/>
    </row>
    <row r="110" spans="1:11" s="62" customFormat="1" ht="22.5" x14ac:dyDescent="0.2">
      <c r="A110" s="59" t="str">
        <f>'MM CALC'!A106</f>
        <v>5.15</v>
      </c>
      <c r="B110" s="59" t="str">
        <f>'MM CALC'!B106</f>
        <v>SEINFRA</v>
      </c>
      <c r="C110" s="56" t="str">
        <f>'MM CALC'!C106</f>
        <v>ED-49498</v>
      </c>
      <c r="D110" s="107" t="str">
        <f>'MM CALC'!D106</f>
        <v>QUADRO DE DISTRIBUIÇÃO PARA 8 MÓDULOS COM BARRAMENTO E CHAVE</v>
      </c>
      <c r="E110" s="56" t="str">
        <f>'MM CALC'!E106</f>
        <v>u</v>
      </c>
      <c r="F110" s="60">
        <f>'MM CALC'!F106</f>
        <v>1</v>
      </c>
      <c r="G110" s="61"/>
      <c r="H110" s="61">
        <f t="shared" si="16"/>
        <v>0</v>
      </c>
      <c r="I110" s="61">
        <f t="shared" si="19"/>
        <v>0</v>
      </c>
      <c r="K110" s="162"/>
    </row>
    <row r="111" spans="1:11" s="62" customFormat="1" ht="11.25" x14ac:dyDescent="0.2">
      <c r="A111" s="59" t="str">
        <f>'MM CALC'!A107</f>
        <v>5.16</v>
      </c>
      <c r="B111" s="58" t="str">
        <f>'MM CALC'!B107</f>
        <v>-</v>
      </c>
      <c r="C111" s="100" t="str">
        <f>'MM CALC'!C107</f>
        <v>-</v>
      </c>
      <c r="D111" s="107" t="str">
        <f>'MM CALC'!D107</f>
        <v>DISPOSITIVO DE PROTEÇÃO DIFERENCIAL RESIDUAL - DR 25A</v>
      </c>
      <c r="E111" s="56" t="str">
        <f>'MM CALC'!E107</f>
        <v>u</v>
      </c>
      <c r="F111" s="60">
        <f>'MM CALC'!F107</f>
        <v>1</v>
      </c>
      <c r="G111" s="70"/>
      <c r="H111" s="70"/>
      <c r="I111" s="61">
        <f t="shared" si="19"/>
        <v>0</v>
      </c>
      <c r="K111" s="162"/>
    </row>
    <row r="112" spans="1:11" s="62" customFormat="1" ht="22.5" x14ac:dyDescent="0.2">
      <c r="A112" s="59" t="str">
        <f>'MM CALC'!A108</f>
        <v>5.17</v>
      </c>
      <c r="B112" s="59" t="str">
        <f>'MM CALC'!B108</f>
        <v>SEINFRA</v>
      </c>
      <c r="C112" s="56" t="str">
        <f>'MM CALC'!C108</f>
        <v>ED-49527</v>
      </c>
      <c r="D112" s="107" t="str">
        <f>'MM CALC'!D108</f>
        <v>SUPRESSOR DE SURTO PARA PROTEÇÃO PRIMÁRIA EM QGD, ATÉ 1,5 KV - 5 KA</v>
      </c>
      <c r="E112" s="56" t="str">
        <f>'MM CALC'!E108</f>
        <v>u</v>
      </c>
      <c r="F112" s="60">
        <f>'MM CALC'!F108</f>
        <v>1</v>
      </c>
      <c r="G112" s="61"/>
      <c r="H112" s="61">
        <f t="shared" si="16"/>
        <v>0</v>
      </c>
      <c r="I112" s="61">
        <f t="shared" si="19"/>
        <v>0</v>
      </c>
      <c r="K112" s="162"/>
    </row>
    <row r="113" spans="1:11" s="62" customFormat="1" ht="11.25" x14ac:dyDescent="0.2">
      <c r="A113" s="59" t="str">
        <f>'MM CALC'!A109</f>
        <v>5.18</v>
      </c>
      <c r="B113" s="59" t="str">
        <f>'MM CALC'!B109</f>
        <v>SEINFRA</v>
      </c>
      <c r="C113" s="56" t="str">
        <f>'MM CALC'!C109</f>
        <v>ED-49427</v>
      </c>
      <c r="D113" s="107" t="str">
        <f>'MM CALC'!D109</f>
        <v>PADRÃO CEMIG AÉREO TIPO H1, CARGA INSTALADA ATÉ 5 KW</v>
      </c>
      <c r="E113" s="56" t="str">
        <f>'MM CALC'!E109</f>
        <v>u</v>
      </c>
      <c r="F113" s="60">
        <f>'MM CALC'!F109</f>
        <v>1</v>
      </c>
      <c r="G113" s="61"/>
      <c r="H113" s="61">
        <f t="shared" si="16"/>
        <v>0</v>
      </c>
      <c r="I113" s="61">
        <f t="shared" si="19"/>
        <v>0</v>
      </c>
      <c r="K113" s="162"/>
    </row>
    <row r="114" spans="1:11" s="71" customFormat="1" ht="11.25" x14ac:dyDescent="0.2">
      <c r="A114" s="58">
        <f>'MM CALC'!A110</f>
        <v>6</v>
      </c>
      <c r="B114" s="58"/>
      <c r="C114" s="100"/>
      <c r="D114" s="201" t="str">
        <f>'MM CALC'!D110</f>
        <v>INSTALAÇÕES HIDROSSANITÁRIAS</v>
      </c>
      <c r="E114" s="100"/>
      <c r="F114" s="60"/>
      <c r="G114" s="70"/>
      <c r="H114" s="133"/>
      <c r="I114" s="70">
        <f>SUM(I115:I128)</f>
        <v>0</v>
      </c>
      <c r="K114" s="161"/>
    </row>
    <row r="115" spans="1:11" s="62" customFormat="1" ht="22.5" x14ac:dyDescent="0.2">
      <c r="A115" s="59" t="str">
        <f>'MM CALC'!A111</f>
        <v>6.1</v>
      </c>
      <c r="B115" s="59" t="str">
        <f>'MM CALC'!B111</f>
        <v>SEINFRA</v>
      </c>
      <c r="C115" s="56" t="str">
        <f>'MM CALC'!C111</f>
        <v>ED-50221</v>
      </c>
      <c r="D115" s="107" t="str">
        <f>'MM CALC'!D111</f>
        <v>PONTO DE ÁGUA FRIA EMBUTIDO, INCLUINDO TUBO DE PVC RÍGIDO SOLDÁVEL E CONEXÕES</v>
      </c>
      <c r="E115" s="56" t="str">
        <f>'MM CALC'!E111</f>
        <v>u</v>
      </c>
      <c r="F115" s="60">
        <f>'MM CALC'!F111</f>
        <v>7</v>
      </c>
      <c r="G115" s="61"/>
      <c r="H115" s="61">
        <f t="shared" si="16"/>
        <v>0</v>
      </c>
      <c r="I115" s="61">
        <f t="shared" ref="I115:I127" si="20">ROUND((F115*H115),2)</f>
        <v>0</v>
      </c>
      <c r="K115" s="162"/>
    </row>
    <row r="116" spans="1:11" s="62" customFormat="1" ht="33.75" x14ac:dyDescent="0.2">
      <c r="A116" s="59" t="str">
        <f>'MM CALC'!A112</f>
        <v>6.2</v>
      </c>
      <c r="B116" s="59" t="str">
        <f>'MM CALC'!B112</f>
        <v>SEINFRA</v>
      </c>
      <c r="C116" s="56" t="str">
        <f>'MM CALC'!C112</f>
        <v>ED-49989</v>
      </c>
      <c r="D116" s="107" t="str">
        <f>'MM CALC'!D112</f>
        <v>REGISTRO DE GAVETA, TIPO BASE, ROSCÁVEL 3/4" (PARA TUBO SOLDÁVEL OU PPR DN 25MM/CPVC DN 22MM), INCLUSIVE ACABAMENTO (PADRÃO MÉDIO) E CANOPLA CROMADO</v>
      </c>
      <c r="E116" s="56" t="str">
        <f>'MM CALC'!E112</f>
        <v>u</v>
      </c>
      <c r="F116" s="60">
        <f>'MM CALC'!F112</f>
        <v>3</v>
      </c>
      <c r="G116" s="61"/>
      <c r="H116" s="61">
        <f t="shared" si="16"/>
        <v>0</v>
      </c>
      <c r="I116" s="61">
        <f t="shared" si="20"/>
        <v>0</v>
      </c>
      <c r="K116" s="162"/>
    </row>
    <row r="117" spans="1:11" s="62" customFormat="1" ht="22.5" x14ac:dyDescent="0.2">
      <c r="A117" s="59" t="str">
        <f>'MM CALC'!A113</f>
        <v>6.3</v>
      </c>
      <c r="B117" s="59" t="str">
        <f>'MM CALC'!B113</f>
        <v>SEINFRA</v>
      </c>
      <c r="C117" s="56" t="str">
        <f>'MM CALC'!C113</f>
        <v>ED-50000</v>
      </c>
      <c r="D117" s="107" t="str">
        <f>'MM CALC'!D113</f>
        <v>REGISTRO DE ESFERA, TIPO PVC SOLDÁVEL DN 25MM (3/4"), INCLUSIVE VOLANTE PARA ACIONAMENTO</v>
      </c>
      <c r="E117" s="56" t="str">
        <f>'MM CALC'!E113</f>
        <v>u</v>
      </c>
      <c r="F117" s="60">
        <f>'MM CALC'!F113</f>
        <v>1</v>
      </c>
      <c r="G117" s="61"/>
      <c r="H117" s="61">
        <f t="shared" si="16"/>
        <v>0</v>
      </c>
      <c r="I117" s="61">
        <f t="shared" si="20"/>
        <v>0</v>
      </c>
      <c r="K117" s="162"/>
    </row>
    <row r="118" spans="1:11" s="62" customFormat="1" ht="22.5" x14ac:dyDescent="0.2">
      <c r="A118" s="59" t="str">
        <f>'MM CALC'!A114</f>
        <v>6.4</v>
      </c>
      <c r="B118" s="59" t="str">
        <f>'MM CALC'!B114</f>
        <v>SEINFRA</v>
      </c>
      <c r="C118" s="56" t="str">
        <f>'MM CALC'!C114</f>
        <v>ED-49844</v>
      </c>
      <c r="D118" s="107" t="str">
        <f>'MM CALC'!D114</f>
        <v>ADAPTADOR SOLDÁVEL DE PVC MARROM COM FLANGES E ANEL PARA CAIXA DÁGUA Ø 20 MM X 1/2"</v>
      </c>
      <c r="E118" s="56" t="str">
        <f>'MM CALC'!E114</f>
        <v>u</v>
      </c>
      <c r="F118" s="60">
        <f>'MM CALC'!F114</f>
        <v>1</v>
      </c>
      <c r="G118" s="61"/>
      <c r="H118" s="61">
        <f t="shared" si="16"/>
        <v>0</v>
      </c>
      <c r="I118" s="61">
        <f t="shared" si="20"/>
        <v>0</v>
      </c>
      <c r="K118" s="162"/>
    </row>
    <row r="119" spans="1:11" s="62" customFormat="1" ht="33.75" x14ac:dyDescent="0.2">
      <c r="A119" s="59" t="str">
        <f>'MM CALC'!A115</f>
        <v>6.5</v>
      </c>
      <c r="B119" s="59" t="str">
        <f>'MM CALC'!B115</f>
        <v>SEINFRA</v>
      </c>
      <c r="C119" s="56" t="str">
        <f>'MM CALC'!C115</f>
        <v>ED-50303</v>
      </c>
      <c r="D119" s="107" t="str">
        <f>'MM CALC'!D115</f>
        <v>TORNEIRA DE BÓIA, TIPO ROSCÁVEL 1/2", EXCLUSIVE ADAPTADOR SOLDÁVEL DE PVC COM FLANGES E ANEL PARA CAIXA DÁGUA</v>
      </c>
      <c r="E119" s="56" t="str">
        <f>'MM CALC'!E115</f>
        <v>u</v>
      </c>
      <c r="F119" s="60">
        <f>'MM CALC'!F115</f>
        <v>1</v>
      </c>
      <c r="G119" s="61"/>
      <c r="H119" s="61">
        <f t="shared" si="16"/>
        <v>0</v>
      </c>
      <c r="I119" s="61">
        <f t="shared" si="20"/>
        <v>0</v>
      </c>
      <c r="K119" s="162"/>
    </row>
    <row r="120" spans="1:11" s="62" customFormat="1" ht="11.25" x14ac:dyDescent="0.2">
      <c r="A120" s="59" t="str">
        <f>'MM CALC'!A116</f>
        <v>6.6</v>
      </c>
      <c r="B120" s="59" t="str">
        <f>'MM CALC'!B116</f>
        <v>SEINFRA</v>
      </c>
      <c r="C120" s="56" t="str">
        <f>'MM CALC'!C116</f>
        <v>ED-49937</v>
      </c>
      <c r="D120" s="107" t="str">
        <f>'MM CALC'!D116</f>
        <v>CAIXA DÁGUA DE POLIETILENO COM TAMPA 1500 L</v>
      </c>
      <c r="E120" s="56" t="str">
        <f>'MM CALC'!E116</f>
        <v>u</v>
      </c>
      <c r="F120" s="60">
        <f>'MM CALC'!F116</f>
        <v>1</v>
      </c>
      <c r="G120" s="61"/>
      <c r="H120" s="61">
        <f t="shared" si="16"/>
        <v>0</v>
      </c>
      <c r="I120" s="61">
        <f t="shared" si="20"/>
        <v>0</v>
      </c>
      <c r="K120" s="162"/>
    </row>
    <row r="121" spans="1:11" s="62" customFormat="1" ht="11.25" x14ac:dyDescent="0.2">
      <c r="A121" s="59" t="str">
        <f>'MM CALC'!A117</f>
        <v>6.7</v>
      </c>
      <c r="B121" s="59" t="str">
        <f>'MM CALC'!B117</f>
        <v>SEINFRA</v>
      </c>
      <c r="C121" s="56" t="str">
        <f>'MM CALC'!C117</f>
        <v>ED-49947</v>
      </c>
      <c r="D121" s="107" t="str">
        <f>'MM CALC'!D117</f>
        <v>HIDRÔMETRO COM CAVALETE E REGISTRO D = 1/2" COPASA</v>
      </c>
      <c r="E121" s="56" t="str">
        <f>'MM CALC'!E117</f>
        <v>u</v>
      </c>
      <c r="F121" s="60">
        <f>'MM CALC'!F117</f>
        <v>1</v>
      </c>
      <c r="G121" s="61"/>
      <c r="H121" s="61">
        <f t="shared" si="16"/>
        <v>0</v>
      </c>
      <c r="I121" s="61">
        <f t="shared" si="20"/>
        <v>0</v>
      </c>
      <c r="K121" s="162"/>
    </row>
    <row r="122" spans="1:11" s="62" customFormat="1" ht="22.5" x14ac:dyDescent="0.2">
      <c r="A122" s="59" t="str">
        <f>'MM CALC'!A118</f>
        <v>6.8</v>
      </c>
      <c r="B122" s="59" t="str">
        <f>'MM CALC'!B118</f>
        <v>SEINFRA</v>
      </c>
      <c r="C122" s="56" t="str">
        <f>'MM CALC'!C118</f>
        <v>ED-50225</v>
      </c>
      <c r="D122" s="107" t="str">
        <f>'MM CALC'!D118</f>
        <v>PONTO DE ESGOTO, INCLUINDO TUBO DE PVC RÍGIDO SOLDÁVEL DE 100 MM E CONEXÕES (VASO SANITÁRIO)</v>
      </c>
      <c r="E122" s="56" t="str">
        <f>'MM CALC'!E118</f>
        <v>u</v>
      </c>
      <c r="F122" s="60">
        <f>'MM CALC'!F118</f>
        <v>2</v>
      </c>
      <c r="G122" s="61"/>
      <c r="H122" s="61">
        <f t="shared" si="16"/>
        <v>0</v>
      </c>
      <c r="I122" s="61">
        <f t="shared" si="20"/>
        <v>0</v>
      </c>
      <c r="K122" s="162"/>
    </row>
    <row r="123" spans="1:11" s="62" customFormat="1" ht="33.75" x14ac:dyDescent="0.2">
      <c r="A123" s="59" t="str">
        <f>'MM CALC'!A119</f>
        <v>6.9</v>
      </c>
      <c r="B123" s="59" t="str">
        <f>'MM CALC'!B119</f>
        <v>SEINFRA</v>
      </c>
      <c r="C123" s="56" t="str">
        <f>'MM CALC'!C119</f>
        <v>ED-50223</v>
      </c>
      <c r="D123" s="107" t="str">
        <f>'MM CALC'!D119</f>
        <v>PONTO DE ESGOTO, INCLUINDO TUBO DE PVC RÍGIDO SOLDÁVEL DE 40 MM E CONEXÕES (LAVATÓRIOS, MICTÓRIOS, RALOS SIFONADOS, ETC.)</v>
      </c>
      <c r="E123" s="56" t="str">
        <f>'MM CALC'!E119</f>
        <v>u</v>
      </c>
      <c r="F123" s="60">
        <f>'MM CALC'!F119</f>
        <v>4</v>
      </c>
      <c r="G123" s="61"/>
      <c r="H123" s="61">
        <f t="shared" si="16"/>
        <v>0</v>
      </c>
      <c r="I123" s="61">
        <f t="shared" si="20"/>
        <v>0</v>
      </c>
      <c r="K123" s="162"/>
    </row>
    <row r="124" spans="1:11" s="62" customFormat="1" ht="33.75" x14ac:dyDescent="0.2">
      <c r="A124" s="59" t="str">
        <f>'MM CALC'!A120</f>
        <v>6.10</v>
      </c>
      <c r="B124" s="59" t="str">
        <f>'MM CALC'!B120</f>
        <v>SEINFRA</v>
      </c>
      <c r="C124" s="56" t="str">
        <f>'MM CALC'!C120</f>
        <v>ED-50224</v>
      </c>
      <c r="D124" s="107" t="str">
        <f>'MM CALC'!D120</f>
        <v>PONTO DE ESGOTO, INCLUINDO TUBO DE PVC RÍGIDO SOLDÁVEL DE 50 MM E CONEXÕES (PIAS DE COZINHA, MÁQUINAS DE LAVAR, ETC.)</v>
      </c>
      <c r="E124" s="56" t="str">
        <f>'MM CALC'!E120</f>
        <v>u</v>
      </c>
      <c r="F124" s="60">
        <f>'MM CALC'!F120</f>
        <v>4</v>
      </c>
      <c r="G124" s="61"/>
      <c r="H124" s="61">
        <f t="shared" si="16"/>
        <v>0</v>
      </c>
      <c r="I124" s="61">
        <f t="shared" si="20"/>
        <v>0</v>
      </c>
      <c r="K124" s="162"/>
    </row>
    <row r="125" spans="1:11" s="62" customFormat="1" ht="33.75" x14ac:dyDescent="0.2">
      <c r="A125" s="59" t="str">
        <f>'MM CALC'!A121</f>
        <v>6.11</v>
      </c>
      <c r="B125" s="59" t="str">
        <f>'MM CALC'!B121</f>
        <v>SEINFRA</v>
      </c>
      <c r="C125" s="56" t="str">
        <f>'MM CALC'!C121</f>
        <v>ED-8845</v>
      </c>
      <c r="D125" s="107" t="str">
        <f>'MM CALC'!D121</f>
        <v>FORNECIMENTO E ASSENTAMENTO DE TUBO PVC RÍGIDO, VENTILAÇÃO, PBV - SÉRIE NORMAL, DN 50 MM (2"), INCLUSIVE CONEXÕES</v>
      </c>
      <c r="E125" s="56" t="str">
        <f>'MM CALC'!E121</f>
        <v>m</v>
      </c>
      <c r="F125" s="60">
        <f>'MM CALC'!F121</f>
        <v>10</v>
      </c>
      <c r="G125" s="61"/>
      <c r="H125" s="61">
        <f t="shared" si="16"/>
        <v>0</v>
      </c>
      <c r="I125" s="61">
        <f t="shared" si="20"/>
        <v>0</v>
      </c>
      <c r="K125" s="162"/>
    </row>
    <row r="126" spans="1:11" s="62" customFormat="1" ht="11.25" x14ac:dyDescent="0.2">
      <c r="A126" s="59" t="str">
        <f>'MM CALC'!A122</f>
        <v>6.12</v>
      </c>
      <c r="B126" s="59" t="str">
        <f>'MM CALC'!B122</f>
        <v>SEINFRA</v>
      </c>
      <c r="C126" s="56" t="str">
        <f>'MM CALC'!C122</f>
        <v>ED-49939</v>
      </c>
      <c r="D126" s="107" t="str">
        <f>'MM CALC'!D122</f>
        <v>CAIXA DE GORDURA PRÉ-FABRICADA SIMPLES VOL. 31 LITROS</v>
      </c>
      <c r="E126" s="56" t="str">
        <f>'MM CALC'!E122</f>
        <v>u</v>
      </c>
      <c r="F126" s="60">
        <f>'MM CALC'!F122</f>
        <v>1</v>
      </c>
      <c r="G126" s="61"/>
      <c r="H126" s="61">
        <f t="shared" si="16"/>
        <v>0</v>
      </c>
      <c r="I126" s="61">
        <f t="shared" si="20"/>
        <v>0</v>
      </c>
      <c r="K126" s="162"/>
    </row>
    <row r="127" spans="1:11" s="62" customFormat="1" ht="22.5" x14ac:dyDescent="0.2">
      <c r="A127" s="59" t="str">
        <f>'MM CALC'!A123</f>
        <v>6.13</v>
      </c>
      <c r="B127" s="59" t="str">
        <f>'MM CALC'!B123</f>
        <v>SEINFRA</v>
      </c>
      <c r="C127" s="56" t="str">
        <f>'MM CALC'!C123</f>
        <v>ED-50009</v>
      </c>
      <c r="D127" s="107" t="str">
        <f>'MM CALC'!D123</f>
        <v>CAIXA SIFONADA EM PVC COM GRELHA QUADRADA/REDONDA 150 X 185 X 75 MM</v>
      </c>
      <c r="E127" s="56" t="str">
        <f>'MM CALC'!E123</f>
        <v>u</v>
      </c>
      <c r="F127" s="60">
        <f>'MM CALC'!F123</f>
        <v>4</v>
      </c>
      <c r="G127" s="61"/>
      <c r="H127" s="61">
        <f t="shared" si="16"/>
        <v>0</v>
      </c>
      <c r="I127" s="61">
        <f t="shared" si="20"/>
        <v>0</v>
      </c>
      <c r="K127" s="162"/>
    </row>
    <row r="128" spans="1:11" s="62" customFormat="1" ht="56.25" x14ac:dyDescent="0.2">
      <c r="A128" s="59" t="str">
        <f>'MM CALC'!A124</f>
        <v>6.14</v>
      </c>
      <c r="B128" s="59" t="str">
        <f>'MM CALC'!B124</f>
        <v>SEINFRA</v>
      </c>
      <c r="C128" s="56" t="str">
        <f>'MM CALC'!C124</f>
        <v>ED-49887</v>
      </c>
      <c r="D128" s="107" t="str">
        <f>'MM CALC'!D124</f>
        <v>CAIXA DE ESGOTO DE INSPEÇÃO/PASSAGEM EM ALVENARIA (60X60X80CM), REVESTIMENTO EM ARGAMASSA COM ADITIVO IMPERMEABILIZANTE, COM TAMPA DE CONCRETO, INCLUSIVE ESCAVAÇÃO, REATERRO E TRANSPORTE E RETIRADA DO MATERIAL ESCAVADO (EM CAÇAMBA)</v>
      </c>
      <c r="E128" s="56" t="str">
        <f>'MM CALC'!E124</f>
        <v>u</v>
      </c>
      <c r="F128" s="60">
        <f>'MM CALC'!F124</f>
        <v>2</v>
      </c>
      <c r="G128" s="61"/>
      <c r="H128" s="61">
        <f t="shared" si="16"/>
        <v>0</v>
      </c>
      <c r="I128" s="61">
        <f>ROUND((F128*H128),2)</f>
        <v>0</v>
      </c>
      <c r="K128" s="162"/>
    </row>
    <row r="129" spans="1:11" s="71" customFormat="1" ht="11.25" x14ac:dyDescent="0.2">
      <c r="A129" s="58">
        <f>'MM CALC'!A125</f>
        <v>7</v>
      </c>
      <c r="B129" s="152"/>
      <c r="C129" s="100"/>
      <c r="D129" s="201" t="str">
        <f>'MM CALC'!D125</f>
        <v>LIMPEZA DE OBRA</v>
      </c>
      <c r="E129" s="100"/>
      <c r="F129" s="60"/>
      <c r="G129" s="151"/>
      <c r="H129" s="70"/>
      <c r="I129" s="70">
        <f>SUM(I130:I130)</f>
        <v>0</v>
      </c>
      <c r="K129" s="161"/>
    </row>
    <row r="130" spans="1:11" s="62" customFormat="1" ht="11.25" x14ac:dyDescent="0.2">
      <c r="A130" s="59" t="str">
        <f>'MM CALC'!A126</f>
        <v>7.1</v>
      </c>
      <c r="B130" s="59" t="str">
        <f>'MM CALC'!B126</f>
        <v>SEINFRA</v>
      </c>
      <c r="C130" s="56" t="str">
        <f>'MM CALC'!C126</f>
        <v>ED-50266</v>
      </c>
      <c r="D130" s="107" t="str">
        <f>'MM CALC'!D126</f>
        <v>LIMPEZA FINAL PARA ENTREGA DA OBRA</v>
      </c>
      <c r="E130" s="56" t="str">
        <f>'MM CALC'!E126</f>
        <v>m²</v>
      </c>
      <c r="F130" s="60">
        <f>'MM CALC'!F126</f>
        <v>98.932500000000005</v>
      </c>
      <c r="G130" s="108"/>
      <c r="H130" s="61">
        <f t="shared" si="16"/>
        <v>0</v>
      </c>
      <c r="I130" s="61">
        <f>ROUND((F130*H130),2)</f>
        <v>0</v>
      </c>
      <c r="K130" s="162"/>
    </row>
    <row r="131" spans="1:11" s="62" customFormat="1" ht="11.25" x14ac:dyDescent="0.2">
      <c r="A131" s="59"/>
      <c r="B131" s="59"/>
      <c r="C131" s="56"/>
      <c r="D131" s="107"/>
      <c r="E131" s="56"/>
      <c r="F131" s="60"/>
      <c r="G131" s="61"/>
      <c r="H131" s="61"/>
      <c r="I131" s="70">
        <f>I13+I16+I20+I36+I96+I114+I129</f>
        <v>0</v>
      </c>
      <c r="K131" s="165"/>
    </row>
    <row r="132" spans="1:11" x14ac:dyDescent="0.2">
      <c r="A132" s="28"/>
      <c r="B132" s="192"/>
      <c r="C132" s="192"/>
      <c r="D132" s="29"/>
      <c r="E132" s="72"/>
      <c r="F132" s="72"/>
      <c r="G132" s="72"/>
      <c r="H132" s="72"/>
      <c r="I132" s="73"/>
    </row>
    <row r="133" spans="1:11" x14ac:dyDescent="0.2">
      <c r="A133" s="28"/>
      <c r="B133" s="192"/>
      <c r="C133" s="192"/>
      <c r="D133" s="29"/>
      <c r="E133" s="72"/>
      <c r="F133" s="72"/>
      <c r="G133" s="72"/>
      <c r="H133" s="72"/>
      <c r="I133" s="73"/>
    </row>
    <row r="134" spans="1:11" x14ac:dyDescent="0.2">
      <c r="A134" s="28"/>
      <c r="B134" s="192"/>
      <c r="C134" s="192"/>
      <c r="D134" s="29"/>
      <c r="E134" s="72"/>
      <c r="F134" s="72"/>
      <c r="G134" s="72"/>
      <c r="H134" s="72"/>
      <c r="I134" s="73"/>
    </row>
    <row r="135" spans="1:11" x14ac:dyDescent="0.2">
      <c r="A135" s="27"/>
      <c r="B135" s="19"/>
      <c r="C135" s="19"/>
      <c r="D135" s="29"/>
      <c r="E135" s="72"/>
      <c r="F135" s="72"/>
      <c r="G135" s="72"/>
      <c r="H135" s="72"/>
      <c r="I135" s="73"/>
    </row>
    <row r="136" spans="1:11" x14ac:dyDescent="0.2">
      <c r="A136" s="238"/>
      <c r="B136" s="239"/>
      <c r="C136" s="239"/>
      <c r="D136" s="112" t="s">
        <v>37</v>
      </c>
      <c r="E136" s="78"/>
      <c r="F136" s="77"/>
      <c r="G136" s="112" t="s">
        <v>37</v>
      </c>
      <c r="H136" s="110"/>
      <c r="I136" s="73"/>
    </row>
    <row r="137" spans="1:11" x14ac:dyDescent="0.2">
      <c r="A137" s="238"/>
      <c r="B137" s="239"/>
      <c r="C137" s="239"/>
      <c r="D137" s="76" t="str">
        <f>'MM CALC'!D131</f>
        <v>Nome do profissional responsável</v>
      </c>
      <c r="E137" s="78"/>
      <c r="F137" s="77"/>
      <c r="G137" s="111" t="str">
        <f>'MM CALC'!G131</f>
        <v>Nome do Prefeito</v>
      </c>
      <c r="H137" s="110"/>
      <c r="I137" s="73"/>
    </row>
    <row r="138" spans="1:11" x14ac:dyDescent="0.2">
      <c r="A138" s="240"/>
      <c r="B138" s="241"/>
      <c r="C138" s="241"/>
      <c r="D138" s="112" t="str">
        <f>'MM CALC'!D132</f>
        <v xml:space="preserve">Engenheiro Civil? Arquiteto? CREA? CAU? nº XXXXXX/D </v>
      </c>
      <c r="E138" s="78"/>
      <c r="F138" s="77"/>
      <c r="G138" s="112" t="str">
        <f>'MM CALC'!G132</f>
        <v>Prefeito Municipal de XXXX</v>
      </c>
      <c r="H138" s="110"/>
      <c r="I138" s="73"/>
    </row>
    <row r="139" spans="1:11" x14ac:dyDescent="0.2">
      <c r="A139" s="190"/>
      <c r="B139" s="191"/>
      <c r="C139" s="191"/>
      <c r="D139" s="29"/>
      <c r="E139" s="72"/>
      <c r="F139" s="72"/>
      <c r="G139" s="72"/>
      <c r="H139" s="72"/>
      <c r="I139" s="73"/>
    </row>
    <row r="140" spans="1:11" x14ac:dyDescent="0.2">
      <c r="A140" s="27"/>
      <c r="B140" s="19"/>
      <c r="C140" s="19"/>
      <c r="D140" s="29"/>
      <c r="E140" s="72"/>
      <c r="F140" s="72"/>
      <c r="G140" s="72"/>
      <c r="H140" s="72"/>
      <c r="I140" s="73"/>
    </row>
    <row r="141" spans="1:11" x14ac:dyDescent="0.2">
      <c r="A141" s="24"/>
      <c r="B141" s="25"/>
      <c r="C141" s="25"/>
      <c r="D141" s="26"/>
      <c r="E141" s="74"/>
      <c r="F141" s="74"/>
      <c r="G141" s="74"/>
      <c r="H141" s="74"/>
      <c r="I141" s="75"/>
    </row>
    <row r="142" spans="1:11" x14ac:dyDescent="0.2">
      <c r="I142" s="113"/>
    </row>
  </sheetData>
  <autoFilter ref="A11:I131"/>
  <mergeCells count="10">
    <mergeCell ref="A3:I3"/>
    <mergeCell ref="E7:F7"/>
    <mergeCell ref="E6:I6"/>
    <mergeCell ref="G7:H8"/>
    <mergeCell ref="A7:D7"/>
    <mergeCell ref="A137:C137"/>
    <mergeCell ref="A138:C138"/>
    <mergeCell ref="A136:C136"/>
    <mergeCell ref="A8:D8"/>
    <mergeCell ref="I7:I9"/>
  </mergeCells>
  <phoneticPr fontId="21" type="noConversion"/>
  <conditionalFormatting sqref="C13:C131">
    <cfRule type="expression" dxfId="0" priority="145" stopIfTrue="1">
      <formula>OR(#REF!="M",#REF!="A")</formula>
    </cfRule>
  </conditionalFormatting>
  <printOptions horizontalCentered="1"/>
  <pageMargins left="0.78740157480314965" right="0.39370078740157483" top="0.98425196850393704" bottom="0.98425196850393704" header="0.51181102362204722" footer="0.51181102362204722"/>
  <pageSetup paperSize="9" scale="71" fitToHeight="0" orientation="portrait" horizontalDpi="4294967293" r:id="rId1"/>
  <headerFooter alignWithMargins="0">
    <oddFooter>&amp;C
Página &amp;P de &amp;N</oddFooter>
  </headerFooter>
  <ignoredErrors>
    <ignoredError sqref="I48:I54 I16:I19 I22:I25 I27:I35 I37:I45 I96:I129 I55 I56:I95" formula="1"/>
  </ignoredErrors>
  <drawing r:id="rId2"/>
  <legacyDrawing r:id="rId3"/>
  <oleObjects>
    <mc:AlternateContent xmlns:mc="http://schemas.openxmlformats.org/markup-compatibility/2006">
      <mc:Choice Requires="x14">
        <oleObject progId="Word.Picture.8" shapeId="1025" r:id="rId4">
          <objectPr defaultSize="0" autoPict="0" r:id="rId5">
            <anchor moveWithCells="1">
              <from>
                <xdr:col>0</xdr:col>
                <xdr:colOff>228600</xdr:colOff>
                <xdr:row>0</xdr:row>
                <xdr:rowOff>209550</xdr:rowOff>
              </from>
              <to>
                <xdr:col>2</xdr:col>
                <xdr:colOff>133350</xdr:colOff>
                <xdr:row>0</xdr:row>
                <xdr:rowOff>895350</xdr:rowOff>
              </to>
            </anchor>
          </objectPr>
        </oleObject>
      </mc:Choice>
      <mc:Fallback>
        <oleObject progId="Word.Picture.8" shapeId="102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145"/>
  <sheetViews>
    <sheetView showGridLines="0" tabSelected="1" view="pageBreakPreview" zoomScale="75" zoomScaleNormal="75" zoomScaleSheetLayoutView="75" workbookViewId="0">
      <pane ySplit="7" topLeftCell="A8" activePane="bottomLeft" state="frozen"/>
      <selection pane="bottomLeft" activeCell="J19" sqref="J19"/>
    </sheetView>
  </sheetViews>
  <sheetFormatPr defaultColWidth="9.140625" defaultRowHeight="12.75" x14ac:dyDescent="0.2"/>
  <cols>
    <col min="1" max="1" width="7.140625" style="83" customWidth="1"/>
    <col min="2" max="2" width="10.140625" style="79" bestFit="1" customWidth="1"/>
    <col min="3" max="3" width="9.5703125" style="79" customWidth="1"/>
    <col min="4" max="4" width="60.85546875" style="16" bestFit="1" customWidth="1"/>
    <col min="5" max="5" width="7.42578125" style="79" customWidth="1"/>
    <col min="6" max="6" width="8.42578125" style="84" bestFit="1" customWidth="1"/>
    <col min="7" max="7" width="110.7109375" style="21" customWidth="1"/>
    <col min="8" max="16384" width="9.140625" style="21"/>
  </cols>
  <sheetData>
    <row r="1" spans="1:7" x14ac:dyDescent="0.2">
      <c r="A1" s="260" t="s">
        <v>71</v>
      </c>
      <c r="B1" s="261"/>
      <c r="C1" s="261"/>
      <c r="D1" s="261"/>
      <c r="E1" s="261"/>
      <c r="F1" s="261"/>
      <c r="G1" s="262"/>
    </row>
    <row r="2" spans="1:7" x14ac:dyDescent="0.2">
      <c r="A2" s="80"/>
      <c r="B2" s="43"/>
      <c r="C2" s="43"/>
      <c r="D2" s="20"/>
      <c r="E2" s="43"/>
      <c r="F2" s="43"/>
      <c r="G2" s="33"/>
    </row>
    <row r="3" spans="1:7" s="15" customFormat="1" x14ac:dyDescent="0.2">
      <c r="A3" s="18" t="s">
        <v>69</v>
      </c>
      <c r="B3" s="2"/>
      <c r="C3" s="2"/>
      <c r="D3" s="85"/>
      <c r="E3" s="1" t="s">
        <v>72</v>
      </c>
      <c r="F3" s="193"/>
      <c r="G3" s="10"/>
    </row>
    <row r="4" spans="1:7" s="15" customFormat="1" x14ac:dyDescent="0.2">
      <c r="A4" s="18" t="s">
        <v>449</v>
      </c>
      <c r="B4" s="2"/>
      <c r="C4" s="2"/>
      <c r="D4" s="86"/>
      <c r="E4" s="2"/>
      <c r="F4" s="195"/>
      <c r="G4" s="10"/>
    </row>
    <row r="5" spans="1:7" s="15" customFormat="1" x14ac:dyDescent="0.2">
      <c r="A5" s="18" t="s">
        <v>70</v>
      </c>
      <c r="B5" s="2"/>
      <c r="C5" s="2"/>
      <c r="D5" s="86"/>
      <c r="E5" s="2"/>
      <c r="F5" s="2"/>
      <c r="G5" s="10"/>
    </row>
    <row r="6" spans="1:7" x14ac:dyDescent="0.2">
      <c r="A6" s="81"/>
      <c r="B6" s="29"/>
      <c r="C6" s="29"/>
      <c r="D6" s="20"/>
      <c r="E6" s="29"/>
      <c r="F6" s="82"/>
      <c r="G6" s="33"/>
    </row>
    <row r="7" spans="1:7" s="79" customFormat="1" x14ac:dyDescent="0.2">
      <c r="A7" s="270" t="s">
        <v>0</v>
      </c>
      <c r="B7" s="159" t="s">
        <v>9</v>
      </c>
      <c r="C7" s="237" t="s">
        <v>2</v>
      </c>
      <c r="D7" s="159" t="s">
        <v>1</v>
      </c>
      <c r="E7" s="159" t="s">
        <v>6</v>
      </c>
      <c r="F7" s="271" t="s">
        <v>7</v>
      </c>
      <c r="G7" s="159" t="s">
        <v>18</v>
      </c>
    </row>
    <row r="8" spans="1:7" s="106" customFormat="1" ht="11.25" x14ac:dyDescent="0.2">
      <c r="A8" s="101" t="s">
        <v>38</v>
      </c>
      <c r="B8" s="102"/>
      <c r="C8" s="102"/>
      <c r="D8" s="103"/>
      <c r="E8" s="102"/>
      <c r="F8" s="104"/>
      <c r="G8" s="105"/>
    </row>
    <row r="9" spans="1:7" s="106" customFormat="1" ht="11.25" x14ac:dyDescent="0.2">
      <c r="A9" s="207">
        <v>1</v>
      </c>
      <c r="B9" s="120"/>
      <c r="C9" s="138"/>
      <c r="D9" s="208" t="s">
        <v>212</v>
      </c>
      <c r="E9" s="209"/>
      <c r="F9" s="121"/>
      <c r="G9" s="122"/>
    </row>
    <row r="10" spans="1:7" s="106" customFormat="1" ht="45" x14ac:dyDescent="0.2">
      <c r="A10" s="210" t="s">
        <v>11</v>
      </c>
      <c r="B10" s="123" t="s">
        <v>44</v>
      </c>
      <c r="C10" s="139" t="s">
        <v>52</v>
      </c>
      <c r="D10" s="211" t="s">
        <v>427</v>
      </c>
      <c r="E10" s="212" t="s">
        <v>362</v>
      </c>
      <c r="F10" s="167">
        <v>1</v>
      </c>
      <c r="G10" s="213" t="s">
        <v>283</v>
      </c>
    </row>
    <row r="11" spans="1:7" s="106" customFormat="1" ht="11.25" x14ac:dyDescent="0.2">
      <c r="A11" s="214" t="s">
        <v>27</v>
      </c>
      <c r="B11" s="124" t="s">
        <v>44</v>
      </c>
      <c r="C11" s="140" t="s">
        <v>53</v>
      </c>
      <c r="D11" s="215" t="s">
        <v>31</v>
      </c>
      <c r="E11" s="216" t="s">
        <v>32</v>
      </c>
      <c r="F11" s="169">
        <f>6.45*6.45+3.9*(10.35-1.05)+3.9*(6.45-1.05)</f>
        <v>98.932500000000005</v>
      </c>
      <c r="G11" s="217" t="s">
        <v>284</v>
      </c>
    </row>
    <row r="12" spans="1:7" s="106" customFormat="1" ht="11.25" x14ac:dyDescent="0.2">
      <c r="A12" s="207">
        <v>2</v>
      </c>
      <c r="B12" s="120"/>
      <c r="C12" s="138"/>
      <c r="D12" s="208" t="s">
        <v>213</v>
      </c>
      <c r="E12" s="209"/>
      <c r="F12" s="173"/>
      <c r="G12" s="218"/>
    </row>
    <row r="13" spans="1:7" s="106" customFormat="1" ht="78.75" x14ac:dyDescent="0.2">
      <c r="A13" s="210" t="s">
        <v>12</v>
      </c>
      <c r="B13" s="123" t="s">
        <v>44</v>
      </c>
      <c r="C13" s="139" t="s">
        <v>54</v>
      </c>
      <c r="D13" s="211" t="s">
        <v>214</v>
      </c>
      <c r="E13" s="212" t="s">
        <v>34</v>
      </c>
      <c r="F13" s="167">
        <f>(0.8*0.8*1.35*17)+(((6.05-0.3-0.1)+6.05+(6.05-0.15-0.3)+(6.05-0.1-0.4-0.1)+(6.05-0.15)+(6.05-0.1-0.4)+(3.7-0.1-0.1)+(3.7-0.1)+3.7+(3.7-0.2)+(5.4+3.7-0.15-0.15-0.4)+((3.9-0.15)*3)+(5.4-0.15-0.2)+(5.4-0.4-0.3-0.3)+(1.9*2)+(1.8*3))*0.35*0.15)</f>
        <v>19.245000000000005</v>
      </c>
      <c r="G13" s="168" t="s">
        <v>436</v>
      </c>
    </row>
    <row r="14" spans="1:7" s="106" customFormat="1" ht="78.75" x14ac:dyDescent="0.2">
      <c r="A14" s="210" t="s">
        <v>79</v>
      </c>
      <c r="B14" s="123" t="s">
        <v>44</v>
      </c>
      <c r="C14" s="139" t="s">
        <v>55</v>
      </c>
      <c r="D14" s="211" t="s">
        <v>33</v>
      </c>
      <c r="E14" s="212" t="s">
        <v>32</v>
      </c>
      <c r="F14" s="167">
        <f>(0.8*0.8*17)+(((6.05-0.3-0.1)+6.05+(6.05-0.15-0.3)+(6.05-0.1-0.4-0.1)+(6.05-0.15)+(6.05-0.1-0.4)+(3.7-0.1-0.1)+(3.7-0.1)+3.7+(3.7-0.2)+(5.4+3.7-0.15-0.15-0.4)+((3.9-0.15)*3)+(5.4-0.15-0.2)+(5.4-0.4-0.3-0.3)+(1.9*2)+(1.8*3))*0.15)</f>
        <v>23.900000000000006</v>
      </c>
      <c r="G14" s="168" t="s">
        <v>437</v>
      </c>
    </row>
    <row r="15" spans="1:7" s="106" customFormat="1" ht="22.5" x14ac:dyDescent="0.2">
      <c r="A15" s="214" t="s">
        <v>80</v>
      </c>
      <c r="B15" s="124" t="s">
        <v>44</v>
      </c>
      <c r="C15" s="140" t="s">
        <v>165</v>
      </c>
      <c r="D15" s="188" t="s">
        <v>215</v>
      </c>
      <c r="E15" s="216" t="s">
        <v>34</v>
      </c>
      <c r="F15" s="169">
        <f>F13-F18-F20-F23</f>
        <v>10.292000000000003</v>
      </c>
      <c r="G15" s="170" t="s">
        <v>410</v>
      </c>
    </row>
    <row r="16" spans="1:7" s="106" customFormat="1" ht="11.25" x14ac:dyDescent="0.2">
      <c r="A16" s="219">
        <v>3</v>
      </c>
      <c r="B16" s="127"/>
      <c r="C16" s="141"/>
      <c r="D16" s="220" t="s">
        <v>216</v>
      </c>
      <c r="E16" s="221"/>
      <c r="F16" s="171"/>
      <c r="G16" s="172"/>
    </row>
    <row r="17" spans="1:7" s="106" customFormat="1" ht="11.25" x14ac:dyDescent="0.2">
      <c r="A17" s="207" t="s">
        <v>13</v>
      </c>
      <c r="B17" s="120"/>
      <c r="C17" s="138"/>
      <c r="D17" s="208" t="s">
        <v>217</v>
      </c>
      <c r="E17" s="209"/>
      <c r="F17" s="173"/>
      <c r="G17" s="174"/>
    </row>
    <row r="18" spans="1:7" s="106" customFormat="1" ht="78.75" x14ac:dyDescent="0.2">
      <c r="A18" s="210" t="s">
        <v>81</v>
      </c>
      <c r="B18" s="123" t="s">
        <v>44</v>
      </c>
      <c r="C18" s="139" t="s">
        <v>49</v>
      </c>
      <c r="D18" s="211" t="s">
        <v>50</v>
      </c>
      <c r="E18" s="212" t="s">
        <v>34</v>
      </c>
      <c r="F18" s="167">
        <f>(0.8*0.8*17*0.05)+(((6.05-0.3-0.1)+6.05+(6.05-0.15-0.3)+(6.05-0.1-0.4-0.1)+(6.05-0.15)+(6.05-0.1-0.4)+(3.7-0.1-0.1)+(3.7-0.1)+3.7+(3.7-0.2)+(5.4+3.7-0.15-0.15-0.4)+((3.9-0.15)*3)+(5.4-0.15-0.2)+(5.4-0.4-0.3-0.3)+(1.9*2)+(1.8*3))*0.15*0.05)</f>
        <v>1.1950000000000003</v>
      </c>
      <c r="G18" s="168" t="s">
        <v>438</v>
      </c>
    </row>
    <row r="19" spans="1:7" s="106" customFormat="1" ht="22.5" x14ac:dyDescent="0.2">
      <c r="A19" s="210" t="s">
        <v>82</v>
      </c>
      <c r="B19" s="123" t="s">
        <v>44</v>
      </c>
      <c r="C19" s="139" t="s">
        <v>56</v>
      </c>
      <c r="D19" s="211" t="s">
        <v>218</v>
      </c>
      <c r="E19" s="212" t="s">
        <v>32</v>
      </c>
      <c r="F19" s="167">
        <f>((0.15*0.3*12)+(0.15*0.4*5))*0.7</f>
        <v>0.58799999999999997</v>
      </c>
      <c r="G19" s="168" t="s">
        <v>439</v>
      </c>
    </row>
    <row r="20" spans="1:7" s="106" customFormat="1" ht="33.75" x14ac:dyDescent="0.2">
      <c r="A20" s="210" t="s">
        <v>83</v>
      </c>
      <c r="B20" s="123" t="s">
        <v>44</v>
      </c>
      <c r="C20" s="139" t="s">
        <v>166</v>
      </c>
      <c r="D20" s="211" t="s">
        <v>428</v>
      </c>
      <c r="E20" s="212" t="s">
        <v>34</v>
      </c>
      <c r="F20" s="167">
        <f>(0.8*0.8*0.3*17)+(((0.15*0.3*12)+(0.15*0.4*5))*0.7)</f>
        <v>3.8520000000000008</v>
      </c>
      <c r="G20" s="168" t="s">
        <v>440</v>
      </c>
    </row>
    <row r="21" spans="1:7" s="106" customFormat="1" ht="11.25" x14ac:dyDescent="0.2">
      <c r="A21" s="210" t="s">
        <v>84</v>
      </c>
      <c r="B21" s="123" t="s">
        <v>44</v>
      </c>
      <c r="C21" s="139" t="s">
        <v>285</v>
      </c>
      <c r="D21" s="211" t="s">
        <v>286</v>
      </c>
      <c r="E21" s="212" t="s">
        <v>287</v>
      </c>
      <c r="F21" s="167">
        <f>F20*80</f>
        <v>308.16000000000008</v>
      </c>
      <c r="G21" s="168" t="s">
        <v>424</v>
      </c>
    </row>
    <row r="22" spans="1:7" s="106" customFormat="1" ht="11.25" x14ac:dyDescent="0.2">
      <c r="A22" s="207" t="s">
        <v>36</v>
      </c>
      <c r="B22" s="120"/>
      <c r="C22" s="138"/>
      <c r="D22" s="208" t="s">
        <v>220</v>
      </c>
      <c r="E22" s="209"/>
      <c r="F22" s="173"/>
      <c r="G22" s="174"/>
    </row>
    <row r="23" spans="1:7" s="106" customFormat="1" ht="67.5" x14ac:dyDescent="0.2">
      <c r="A23" s="210" t="s">
        <v>85</v>
      </c>
      <c r="B23" s="123" t="s">
        <v>44</v>
      </c>
      <c r="C23" s="139" t="s">
        <v>166</v>
      </c>
      <c r="D23" s="211" t="s">
        <v>219</v>
      </c>
      <c r="E23" s="212" t="s">
        <v>34</v>
      </c>
      <c r="F23" s="167">
        <f>(((6.05-0.3-0.1)+6.05+(6.05-0.15-0.3)+(6.05-0.1-0.4-0.1)+(6.05-0.15)+(6.05-0.1-0.4)+(3.7-0.1-0.1)+(3.7-0.1)+3.7+(3.7-0.2)+(5.4+3.7-0.15-0.15-0.4)+((3.9-0.15)*3)+(5.4-0.15-0.2)+(5.4-0.4-0.3-0.3)+(1.9*2)+(1.8*3))*0.3*0.15)</f>
        <v>3.9060000000000001</v>
      </c>
      <c r="G23" s="168" t="s">
        <v>288</v>
      </c>
    </row>
    <row r="24" spans="1:7" s="106" customFormat="1" ht="11.25" x14ac:dyDescent="0.2">
      <c r="A24" s="210" t="s">
        <v>86</v>
      </c>
      <c r="B24" s="123" t="s">
        <v>44</v>
      </c>
      <c r="C24" s="139" t="s">
        <v>285</v>
      </c>
      <c r="D24" s="211" t="s">
        <v>286</v>
      </c>
      <c r="E24" s="212" t="s">
        <v>287</v>
      </c>
      <c r="F24" s="167">
        <f>F23*80</f>
        <v>312.48</v>
      </c>
      <c r="G24" s="168" t="s">
        <v>425</v>
      </c>
    </row>
    <row r="25" spans="1:7" s="106" customFormat="1" ht="11.25" x14ac:dyDescent="0.2">
      <c r="A25" s="207" t="s">
        <v>87</v>
      </c>
      <c r="B25" s="120"/>
      <c r="C25" s="138"/>
      <c r="D25" s="208" t="s">
        <v>290</v>
      </c>
      <c r="E25" s="209"/>
      <c r="F25" s="173"/>
      <c r="G25" s="174"/>
    </row>
    <row r="26" spans="1:7" s="106" customFormat="1" ht="56.25" x14ac:dyDescent="0.2">
      <c r="A26" s="210" t="s">
        <v>88</v>
      </c>
      <c r="B26" s="123" t="s">
        <v>44</v>
      </c>
      <c r="C26" s="139" t="s">
        <v>167</v>
      </c>
      <c r="D26" s="183" t="s">
        <v>221</v>
      </c>
      <c r="E26" s="212" t="s">
        <v>32</v>
      </c>
      <c r="F26" s="167">
        <f>((((6.45+6.05)*4)+(6.45*2)+(0.15*2))*0.3)+(((3.7*4)+(3.9+3.9+9.1))*0.3)+(((3.7*2)+5.4+(3.15*2)+(1.75*2)+(1.8*4)+(1.75*6)+1.8+1+2)*0.3)+(((0.15+0.15+0.3+0.3)*2.52*12)+((0.15+0.15+0.4+0.4)*4.15*5))</f>
        <v>92.040999999999997</v>
      </c>
      <c r="G26" s="168" t="s">
        <v>291</v>
      </c>
    </row>
    <row r="27" spans="1:7" s="106" customFormat="1" ht="56.25" x14ac:dyDescent="0.2">
      <c r="A27" s="210" t="s">
        <v>89</v>
      </c>
      <c r="B27" s="123" t="s">
        <v>44</v>
      </c>
      <c r="C27" s="139" t="s">
        <v>47</v>
      </c>
      <c r="D27" s="183" t="s">
        <v>222</v>
      </c>
      <c r="E27" s="212" t="s">
        <v>34</v>
      </c>
      <c r="F27" s="167">
        <f>(6.45*0.15*0.3*2)+(6.05+0.15*0.3*2)+(6.45*0.15*0.3)+(3.7*0.15*0.3*4)+(9.1*0.15*0.3)+(3.7*0.15*0.3*2)+(5.4*0.15*0.3)+(5*0.15*0.3)+(1.75*0.15*0.3* 2)+(1.8*0.15*0.3)+(0.15*0.3*2.52*12)+(0.15*0.4*4.15*5)</f>
        <v>11.731549999999999</v>
      </c>
      <c r="G27" s="168" t="s">
        <v>292</v>
      </c>
    </row>
    <row r="28" spans="1:7" s="106" customFormat="1" ht="11.25" x14ac:dyDescent="0.2">
      <c r="A28" s="210" t="s">
        <v>90</v>
      </c>
      <c r="B28" s="123" t="s">
        <v>44</v>
      </c>
      <c r="C28" s="139" t="s">
        <v>285</v>
      </c>
      <c r="D28" s="211" t="s">
        <v>286</v>
      </c>
      <c r="E28" s="212" t="s">
        <v>287</v>
      </c>
      <c r="F28" s="167">
        <f>F27*80</f>
        <v>938.52399999999989</v>
      </c>
      <c r="G28" s="168" t="s">
        <v>424</v>
      </c>
    </row>
    <row r="29" spans="1:7" s="106" customFormat="1" ht="11.25" x14ac:dyDescent="0.2">
      <c r="A29" s="207" t="s">
        <v>91</v>
      </c>
      <c r="B29" s="120"/>
      <c r="C29" s="138"/>
      <c r="D29" s="222" t="s">
        <v>289</v>
      </c>
      <c r="E29" s="223"/>
      <c r="F29" s="173"/>
      <c r="G29" s="174"/>
    </row>
    <row r="30" spans="1:7" s="106" customFormat="1" ht="22.5" x14ac:dyDescent="0.2">
      <c r="A30" s="210" t="s">
        <v>92</v>
      </c>
      <c r="B30" s="123" t="s">
        <v>44</v>
      </c>
      <c r="C30" s="139" t="s">
        <v>295</v>
      </c>
      <c r="D30" s="183" t="s">
        <v>294</v>
      </c>
      <c r="E30" s="224" t="s">
        <v>32</v>
      </c>
      <c r="F30" s="167">
        <f>(4.1*9.3)+(4.1*5.4)</f>
        <v>60.27</v>
      </c>
      <c r="G30" s="168" t="s">
        <v>293</v>
      </c>
    </row>
    <row r="31" spans="1:7" s="106" customFormat="1" ht="22.5" x14ac:dyDescent="0.2">
      <c r="A31" s="210" t="s">
        <v>93</v>
      </c>
      <c r="B31" s="123" t="s">
        <v>44</v>
      </c>
      <c r="C31" s="143" t="s">
        <v>296</v>
      </c>
      <c r="D31" s="183" t="s">
        <v>297</v>
      </c>
      <c r="E31" s="224" t="s">
        <v>32</v>
      </c>
      <c r="F31" s="167">
        <f>(4.1*9.3)+(4.1*5.4)</f>
        <v>60.27</v>
      </c>
      <c r="G31" s="168" t="s">
        <v>293</v>
      </c>
    </row>
    <row r="32" spans="1:7" s="106" customFormat="1" ht="11.25" x14ac:dyDescent="0.2">
      <c r="A32" s="219">
        <v>4</v>
      </c>
      <c r="B32" s="127"/>
      <c r="C32" s="141"/>
      <c r="D32" s="220" t="s">
        <v>223</v>
      </c>
      <c r="E32" s="221"/>
      <c r="F32" s="175"/>
      <c r="G32" s="172"/>
    </row>
    <row r="33" spans="1:7" s="106" customFormat="1" ht="11.25" x14ac:dyDescent="0.2">
      <c r="A33" s="207" t="s">
        <v>10</v>
      </c>
      <c r="B33" s="120"/>
      <c r="C33" s="138"/>
      <c r="D33" s="208" t="s">
        <v>224</v>
      </c>
      <c r="E33" s="209"/>
      <c r="F33" s="173"/>
      <c r="G33" s="174"/>
    </row>
    <row r="34" spans="1:7" s="106" customFormat="1" ht="101.25" x14ac:dyDescent="0.2">
      <c r="A34" s="210" t="s">
        <v>94</v>
      </c>
      <c r="B34" s="123" t="s">
        <v>44</v>
      </c>
      <c r="C34" s="139" t="s">
        <v>58</v>
      </c>
      <c r="D34" s="183" t="s">
        <v>299</v>
      </c>
      <c r="E34" s="224" t="s">
        <v>32</v>
      </c>
      <c r="F34" s="167">
        <f>((6.1-0.3-0.2)*((3.7-0.3+4.75-0.3)/2))*2-((1.4*2.1)+(0.28*1.88*9)+(0.8*2.1))+(((6.45-0.3-0.3-0.4)*(3.7-0.3))-(0.28*1.88*8))+((6.45-0.15-0.3-0.3-0.4)*(4.75-0.3-0.3)-((0.9+2.05+2.3)*0.2))+(((3.9-0.3-0.1)+(3.9-0.3)+(5.4-0.15-0.15-0.4))*2.58)-(0.28*1.88*4)+(((3.9-0.15)+(5.4-0.3-0.3-0.4))*2.58)-(1.2*0.6*2)+(3.9*0.9*2)+(5*0.9*2)+(4.9*1.95*4)</f>
        <v>172.0316</v>
      </c>
      <c r="G34" s="168" t="s">
        <v>316</v>
      </c>
    </row>
    <row r="35" spans="1:7" s="106" customFormat="1" ht="33.75" x14ac:dyDescent="0.2">
      <c r="A35" s="210" t="s">
        <v>95</v>
      </c>
      <c r="B35" s="123" t="s">
        <v>44</v>
      </c>
      <c r="C35" s="139" t="s">
        <v>168</v>
      </c>
      <c r="D35" s="183" t="s">
        <v>298</v>
      </c>
      <c r="E35" s="224" t="s">
        <v>32</v>
      </c>
      <c r="F35" s="167">
        <f>(5.05+3.7+1.75+1.75+1.8)*2.58-((0.9*2.1*2)+(0.8*2.1)+(0.6*2.1)+(1*2.58)+(1.68*0.2))</f>
        <v>26.613</v>
      </c>
      <c r="G35" s="168" t="s">
        <v>300</v>
      </c>
    </row>
    <row r="36" spans="1:7" s="106" customFormat="1" ht="78.75" x14ac:dyDescent="0.2">
      <c r="A36" s="210" t="s">
        <v>96</v>
      </c>
      <c r="B36" s="123" t="s">
        <v>44</v>
      </c>
      <c r="C36" s="139" t="s">
        <v>60</v>
      </c>
      <c r="D36" s="183" t="s">
        <v>225</v>
      </c>
      <c r="E36" s="224" t="s">
        <v>32</v>
      </c>
      <c r="F36" s="202">
        <f>((6.1*((3.7+ 4.75)/2))*2+(6.45*3.7)+(6.45*4.75)-(1.4*2.1-2))*2+(3.9+3.9+5.4)*2.58*2+(3.9+5.4)*2.58*2+((3.9*0.9*2)+(5*0.9*2)+(4.9*1.95*4))*2+(5.05+3.7+1.75+1.75+1.8)*2.58*2</f>
        <v>507.29299999999995</v>
      </c>
      <c r="G36" s="168" t="s">
        <v>426</v>
      </c>
    </row>
    <row r="37" spans="1:7" s="106" customFormat="1" ht="33.75" x14ac:dyDescent="0.2">
      <c r="A37" s="210" t="s">
        <v>97</v>
      </c>
      <c r="B37" s="123" t="s">
        <v>44</v>
      </c>
      <c r="C37" s="139" t="s">
        <v>169</v>
      </c>
      <c r="D37" s="183" t="s">
        <v>226</v>
      </c>
      <c r="E37" s="224" t="s">
        <v>32</v>
      </c>
      <c r="F37" s="167">
        <f>F36</f>
        <v>507.29299999999995</v>
      </c>
      <c r="G37" s="168" t="s">
        <v>301</v>
      </c>
    </row>
    <row r="38" spans="1:7" s="106" customFormat="1" ht="22.5" x14ac:dyDescent="0.2">
      <c r="A38" s="210" t="s">
        <v>98</v>
      </c>
      <c r="B38" s="123" t="s">
        <v>44</v>
      </c>
      <c r="C38" s="139" t="s">
        <v>170</v>
      </c>
      <c r="D38" s="183" t="s">
        <v>227</v>
      </c>
      <c r="E38" s="224" t="s">
        <v>32</v>
      </c>
      <c r="F38" s="167">
        <f>8.88+23.31+5.67+3.15+3.15+3.41+1.75</f>
        <v>49.319999999999993</v>
      </c>
      <c r="G38" s="168" t="s">
        <v>305</v>
      </c>
    </row>
    <row r="39" spans="1:7" s="106" customFormat="1" ht="33.75" x14ac:dyDescent="0.2">
      <c r="A39" s="214" t="s">
        <v>99</v>
      </c>
      <c r="B39" s="124" t="s">
        <v>44</v>
      </c>
      <c r="C39" s="140" t="s">
        <v>171</v>
      </c>
      <c r="D39" s="225" t="s">
        <v>228</v>
      </c>
      <c r="E39" s="226" t="s">
        <v>32</v>
      </c>
      <c r="F39" s="167">
        <f>8.88+23.31+5.67+3.15+3.15+3.41+1.75</f>
        <v>49.319999999999993</v>
      </c>
      <c r="G39" s="168" t="s">
        <v>305</v>
      </c>
    </row>
    <row r="40" spans="1:7" s="106" customFormat="1" ht="11.25" x14ac:dyDescent="0.2">
      <c r="A40" s="227" t="s">
        <v>28</v>
      </c>
      <c r="B40" s="134"/>
      <c r="C40" s="144"/>
      <c r="D40" s="228" t="s">
        <v>229</v>
      </c>
      <c r="E40" s="229"/>
      <c r="F40" s="176"/>
      <c r="G40" s="177"/>
    </row>
    <row r="41" spans="1:7" s="106" customFormat="1" ht="22.5" x14ac:dyDescent="0.2">
      <c r="A41" s="230" t="s">
        <v>100</v>
      </c>
      <c r="B41" s="120" t="s">
        <v>44</v>
      </c>
      <c r="C41" s="145" t="s">
        <v>49</v>
      </c>
      <c r="D41" s="231" t="s">
        <v>50</v>
      </c>
      <c r="E41" s="209" t="s">
        <v>34</v>
      </c>
      <c r="F41" s="173">
        <f>(36.6+3.15+1.75+5.67+3.41+3.15+8.88+23.31)*0.03</f>
        <v>2.5775999999999999</v>
      </c>
      <c r="G41" s="174" t="s">
        <v>303</v>
      </c>
    </row>
    <row r="42" spans="1:7" s="106" customFormat="1" ht="33.75" x14ac:dyDescent="0.2">
      <c r="A42" s="232" t="s">
        <v>101</v>
      </c>
      <c r="B42" s="123" t="s">
        <v>44</v>
      </c>
      <c r="C42" s="139" t="s">
        <v>429</v>
      </c>
      <c r="D42" s="211" t="s">
        <v>430</v>
      </c>
      <c r="E42" s="224" t="s">
        <v>287</v>
      </c>
      <c r="F42" s="167">
        <f>(36.6+3.15+1.75+5.67+3.41+3.15+8.88+23.31)*1.48</f>
        <v>127.16160000000001</v>
      </c>
      <c r="G42" s="168" t="s">
        <v>431</v>
      </c>
    </row>
    <row r="43" spans="1:7" s="106" customFormat="1" ht="33.75" x14ac:dyDescent="0.2">
      <c r="A43" s="232" t="s">
        <v>102</v>
      </c>
      <c r="B43" s="123" t="s">
        <v>44</v>
      </c>
      <c r="C43" s="139" t="s">
        <v>166</v>
      </c>
      <c r="D43" s="233" t="s">
        <v>435</v>
      </c>
      <c r="E43" s="224" t="s">
        <v>34</v>
      </c>
      <c r="F43" s="167">
        <f>(36.6+3.15+1.75+5.67+3.41+3.15+8.88+23.31)*0.05</f>
        <v>4.2960000000000003</v>
      </c>
      <c r="G43" s="168" t="s">
        <v>434</v>
      </c>
    </row>
    <row r="44" spans="1:7" s="106" customFormat="1" ht="22.5" x14ac:dyDescent="0.2">
      <c r="A44" s="232" t="s">
        <v>103</v>
      </c>
      <c r="B44" s="123" t="s">
        <v>44</v>
      </c>
      <c r="C44" s="139" t="s">
        <v>445</v>
      </c>
      <c r="D44" s="233" t="s">
        <v>446</v>
      </c>
      <c r="E44" s="224" t="s">
        <v>32</v>
      </c>
      <c r="F44" s="167">
        <f>36.6+3.15+1.75+5.67+3.41+3.15+8.88+23.31</f>
        <v>85.92</v>
      </c>
      <c r="G44" s="168" t="s">
        <v>302</v>
      </c>
    </row>
    <row r="45" spans="1:7" s="106" customFormat="1" ht="45" x14ac:dyDescent="0.2">
      <c r="A45" s="232" t="s">
        <v>104</v>
      </c>
      <c r="B45" s="123" t="s">
        <v>44</v>
      </c>
      <c r="C45" s="139" t="s">
        <v>172</v>
      </c>
      <c r="D45" s="233" t="s">
        <v>230</v>
      </c>
      <c r="E45" s="224" t="s">
        <v>32</v>
      </c>
      <c r="F45" s="167">
        <f>36.6+3.15+1.75+5.67+3.41+3.15+8.88+23.31</f>
        <v>85.92</v>
      </c>
      <c r="G45" s="168" t="s">
        <v>302</v>
      </c>
    </row>
    <row r="46" spans="1:7" s="106" customFormat="1" ht="67.5" x14ac:dyDescent="0.2">
      <c r="A46" s="232" t="s">
        <v>401</v>
      </c>
      <c r="B46" s="123" t="s">
        <v>44</v>
      </c>
      <c r="C46" s="139" t="s">
        <v>173</v>
      </c>
      <c r="D46" s="233" t="s">
        <v>231</v>
      </c>
      <c r="E46" s="224" t="s">
        <v>232</v>
      </c>
      <c r="F46" s="167">
        <f>(6.05*3)+1.15+2.6+0.1+(3.7*2)+2.4+1.5+0.1+3.7+2.6+2.7+0.3+0.9+0.8+3.3+0.1+0.8+0.25+1+0.1+(1*3)+1.75+1.95+1+1.75+1.05+0.1</f>
        <v>60.55</v>
      </c>
      <c r="G46" s="168" t="s">
        <v>309</v>
      </c>
    </row>
    <row r="47" spans="1:7" s="106" customFormat="1" ht="45" x14ac:dyDescent="0.2">
      <c r="A47" s="232" t="s">
        <v>415</v>
      </c>
      <c r="B47" s="137" t="s">
        <v>44</v>
      </c>
      <c r="C47" s="146" t="s">
        <v>174</v>
      </c>
      <c r="D47" s="234" t="s">
        <v>233</v>
      </c>
      <c r="E47" s="235" t="s">
        <v>32</v>
      </c>
      <c r="F47" s="178">
        <f>(1.8+1.8+1.75+1.75+1.8+1.8+1.75+1.75)*1.8</f>
        <v>25.560000000000002</v>
      </c>
      <c r="G47" s="179" t="s">
        <v>304</v>
      </c>
    </row>
    <row r="48" spans="1:7" s="106" customFormat="1" ht="33.75" x14ac:dyDescent="0.2">
      <c r="A48" s="232" t="s">
        <v>432</v>
      </c>
      <c r="B48" s="137" t="s">
        <v>44</v>
      </c>
      <c r="C48" s="146" t="s">
        <v>405</v>
      </c>
      <c r="D48" s="236" t="s">
        <v>406</v>
      </c>
      <c r="E48" s="235" t="s">
        <v>32</v>
      </c>
      <c r="F48" s="178">
        <f>2.7*1.2</f>
        <v>3.24</v>
      </c>
      <c r="G48" s="179" t="s">
        <v>407</v>
      </c>
    </row>
    <row r="49" spans="1:7" s="106" customFormat="1" ht="22.5" x14ac:dyDescent="0.2">
      <c r="A49" s="232" t="s">
        <v>433</v>
      </c>
      <c r="B49" s="124" t="s">
        <v>44</v>
      </c>
      <c r="C49" s="147" t="s">
        <v>403</v>
      </c>
      <c r="D49" s="225" t="s">
        <v>404</v>
      </c>
      <c r="E49" s="235" t="s">
        <v>32</v>
      </c>
      <c r="F49" s="169">
        <f>(7.45+6.95+1.05+3.9+((5.4+3.7+0.5)-2.7)+(3.9+5.4+0.5)+3.4+1.05)*0.5</f>
        <v>20.25</v>
      </c>
      <c r="G49" s="182" t="s">
        <v>402</v>
      </c>
    </row>
    <row r="50" spans="1:7" s="106" customFormat="1" ht="11.25" x14ac:dyDescent="0.2">
      <c r="A50" s="207" t="s">
        <v>29</v>
      </c>
      <c r="B50" s="120"/>
      <c r="C50" s="148"/>
      <c r="D50" s="222" t="s">
        <v>234</v>
      </c>
      <c r="E50" s="223"/>
      <c r="F50" s="173"/>
      <c r="G50" s="174"/>
    </row>
    <row r="51" spans="1:7" s="106" customFormat="1" ht="22.5" x14ac:dyDescent="0.2">
      <c r="A51" s="210" t="s">
        <v>105</v>
      </c>
      <c r="B51" s="123" t="s">
        <v>44</v>
      </c>
      <c r="C51" s="142" t="s">
        <v>175</v>
      </c>
      <c r="D51" s="183" t="s">
        <v>235</v>
      </c>
      <c r="E51" s="224" t="s">
        <v>32</v>
      </c>
      <c r="F51" s="167">
        <f>F37-F47</f>
        <v>481.73299999999995</v>
      </c>
      <c r="G51" s="168" t="s">
        <v>310</v>
      </c>
    </row>
    <row r="52" spans="1:7" s="106" customFormat="1" ht="22.5" x14ac:dyDescent="0.2">
      <c r="A52" s="210" t="s">
        <v>106</v>
      </c>
      <c r="B52" s="124" t="s">
        <v>44</v>
      </c>
      <c r="C52" s="149" t="s">
        <v>176</v>
      </c>
      <c r="D52" s="225" t="s">
        <v>236</v>
      </c>
      <c r="E52" s="226" t="s">
        <v>32</v>
      </c>
      <c r="F52" s="167">
        <f>8.88+23.31+5.67+3.15+3.15+3.41+1.75</f>
        <v>49.319999999999993</v>
      </c>
      <c r="G52" s="168" t="s">
        <v>305</v>
      </c>
    </row>
    <row r="53" spans="1:7" s="106" customFormat="1" ht="11.25" x14ac:dyDescent="0.2">
      <c r="A53" s="207" t="s">
        <v>39</v>
      </c>
      <c r="B53" s="120"/>
      <c r="C53" s="148"/>
      <c r="D53" s="222" t="s">
        <v>237</v>
      </c>
      <c r="E53" s="223"/>
      <c r="F53" s="173"/>
      <c r="G53" s="174"/>
    </row>
    <row r="54" spans="1:7" s="106" customFormat="1" ht="11.25" x14ac:dyDescent="0.2">
      <c r="A54" s="210" t="s">
        <v>107</v>
      </c>
      <c r="B54" s="123" t="s">
        <v>44</v>
      </c>
      <c r="C54" s="142" t="s">
        <v>177</v>
      </c>
      <c r="D54" s="183" t="s">
        <v>238</v>
      </c>
      <c r="E54" s="224" t="s">
        <v>32</v>
      </c>
      <c r="F54" s="167">
        <f>(3.7*5)+(3.7*3.7)+(3.7*5)</f>
        <v>50.69</v>
      </c>
      <c r="G54" s="168" t="s">
        <v>311</v>
      </c>
    </row>
    <row r="55" spans="1:7" s="106" customFormat="1" ht="11.25" x14ac:dyDescent="0.2">
      <c r="A55" s="210" t="s">
        <v>108</v>
      </c>
      <c r="B55" s="123" t="s">
        <v>44</v>
      </c>
      <c r="C55" s="142" t="s">
        <v>178</v>
      </c>
      <c r="D55" s="183" t="s">
        <v>239</v>
      </c>
      <c r="E55" s="224" t="s">
        <v>32</v>
      </c>
      <c r="F55" s="167">
        <f>(3.7*5)+(3.7*3.7)+(3.7*5)</f>
        <v>50.69</v>
      </c>
      <c r="G55" s="168" t="s">
        <v>311</v>
      </c>
    </row>
    <row r="56" spans="1:7" s="106" customFormat="1" ht="33.75" x14ac:dyDescent="0.2">
      <c r="A56" s="210" t="s">
        <v>109</v>
      </c>
      <c r="B56" s="123" t="s">
        <v>44</v>
      </c>
      <c r="C56" s="142" t="s">
        <v>411</v>
      </c>
      <c r="D56" s="183" t="s">
        <v>412</v>
      </c>
      <c r="E56" s="224" t="s">
        <v>32</v>
      </c>
      <c r="F56" s="167">
        <f>6.05*6.75</f>
        <v>40.837499999999999</v>
      </c>
      <c r="G56" s="168" t="s">
        <v>312</v>
      </c>
    </row>
    <row r="57" spans="1:7" s="106" customFormat="1" ht="56.25" x14ac:dyDescent="0.2">
      <c r="A57" s="210" t="s">
        <v>110</v>
      </c>
      <c r="B57" s="123" t="s">
        <v>44</v>
      </c>
      <c r="C57" s="142" t="s">
        <v>179</v>
      </c>
      <c r="D57" s="183" t="s">
        <v>240</v>
      </c>
      <c r="E57" s="224" t="s">
        <v>32</v>
      </c>
      <c r="F57" s="167">
        <f>6.05*6.75</f>
        <v>40.837499999999999</v>
      </c>
      <c r="G57" s="168" t="s">
        <v>312</v>
      </c>
    </row>
    <row r="58" spans="1:7" s="106" customFormat="1" ht="22.5" x14ac:dyDescent="0.2">
      <c r="A58" s="210" t="s">
        <v>111</v>
      </c>
      <c r="B58" s="123" t="s">
        <v>44</v>
      </c>
      <c r="C58" s="142" t="s">
        <v>180</v>
      </c>
      <c r="D58" s="183" t="s">
        <v>241</v>
      </c>
      <c r="E58" s="224" t="s">
        <v>32</v>
      </c>
      <c r="F58" s="167">
        <f>6.25+6.25+10.35+3.9+3.9+3.7+5.2+3.7+5.2+3.7</f>
        <v>52.150000000000013</v>
      </c>
      <c r="G58" s="168" t="s">
        <v>307</v>
      </c>
    </row>
    <row r="59" spans="1:7" s="106" customFormat="1" ht="22.5" x14ac:dyDescent="0.2">
      <c r="A59" s="210" t="s">
        <v>112</v>
      </c>
      <c r="B59" s="123" t="s">
        <v>44</v>
      </c>
      <c r="C59" s="142" t="s">
        <v>181</v>
      </c>
      <c r="D59" s="183" t="s">
        <v>242</v>
      </c>
      <c r="E59" s="224" t="s">
        <v>363</v>
      </c>
      <c r="F59" s="167">
        <f>6.25+6.05+6.25+5+5+3.7+3.7+3.7+3.7+5+5+3.7</f>
        <v>57.050000000000011</v>
      </c>
      <c r="G59" s="168" t="s">
        <v>308</v>
      </c>
    </row>
    <row r="60" spans="1:7" s="106" customFormat="1" ht="11.25" x14ac:dyDescent="0.2">
      <c r="A60" s="210" t="s">
        <v>113</v>
      </c>
      <c r="B60" s="123" t="s">
        <v>44</v>
      </c>
      <c r="C60" s="142" t="s">
        <v>182</v>
      </c>
      <c r="D60" s="183" t="s">
        <v>243</v>
      </c>
      <c r="E60" s="224" t="s">
        <v>363</v>
      </c>
      <c r="F60" s="167">
        <f>3.7+3.7+3.7+6.05</f>
        <v>17.150000000000002</v>
      </c>
      <c r="G60" s="168" t="s">
        <v>306</v>
      </c>
    </row>
    <row r="61" spans="1:7" s="106" customFormat="1" ht="11.25" x14ac:dyDescent="0.2">
      <c r="A61" s="210" t="s">
        <v>114</v>
      </c>
      <c r="B61" s="137" t="s">
        <v>44</v>
      </c>
      <c r="C61" s="150" t="s">
        <v>417</v>
      </c>
      <c r="D61" s="236" t="s">
        <v>418</v>
      </c>
      <c r="E61" s="235" t="s">
        <v>362</v>
      </c>
      <c r="F61" s="178">
        <v>6</v>
      </c>
      <c r="G61" s="179" t="s">
        <v>419</v>
      </c>
    </row>
    <row r="62" spans="1:7" s="106" customFormat="1" ht="22.5" x14ac:dyDescent="0.2">
      <c r="A62" s="210" t="s">
        <v>416</v>
      </c>
      <c r="B62" s="124" t="s">
        <v>44</v>
      </c>
      <c r="C62" s="149" t="s">
        <v>57</v>
      </c>
      <c r="D62" s="225" t="s">
        <v>244</v>
      </c>
      <c r="E62" s="226" t="s">
        <v>363</v>
      </c>
      <c r="F62" s="169">
        <f>(3.1*4)+(4*2)</f>
        <v>20.399999999999999</v>
      </c>
      <c r="G62" s="170" t="s">
        <v>313</v>
      </c>
    </row>
    <row r="63" spans="1:7" s="106" customFormat="1" ht="11.25" x14ac:dyDescent="0.2">
      <c r="A63" s="207" t="s">
        <v>40</v>
      </c>
      <c r="B63" s="120"/>
      <c r="C63" s="148"/>
      <c r="D63" s="222" t="s">
        <v>245</v>
      </c>
      <c r="E63" s="223"/>
      <c r="F63" s="173"/>
      <c r="G63" s="174"/>
    </row>
    <row r="64" spans="1:7" s="106" customFormat="1" ht="78.75" x14ac:dyDescent="0.2">
      <c r="A64" s="210" t="s">
        <v>115</v>
      </c>
      <c r="B64" s="123" t="s">
        <v>44</v>
      </c>
      <c r="C64" s="139" t="s">
        <v>441</v>
      </c>
      <c r="D64" s="184" t="s">
        <v>442</v>
      </c>
      <c r="E64" s="224" t="s">
        <v>32</v>
      </c>
      <c r="F64" s="167">
        <f>(0.8*0.2)+(0.8*0.15)+(1.4*0.2)+(1*0.15)+(3.7*0.2)+(0.9*0.15*2)+(0.6*0.15)</f>
        <v>1.8100000000000003</v>
      </c>
      <c r="G64" s="168" t="s">
        <v>413</v>
      </c>
    </row>
    <row r="65" spans="1:7" s="106" customFormat="1" ht="11.25" x14ac:dyDescent="0.2">
      <c r="A65" s="214" t="s">
        <v>116</v>
      </c>
      <c r="B65" s="124" t="s">
        <v>44</v>
      </c>
      <c r="C65" s="140" t="s">
        <v>443</v>
      </c>
      <c r="D65" s="188" t="s">
        <v>444</v>
      </c>
      <c r="E65" s="226" t="s">
        <v>32</v>
      </c>
      <c r="F65" s="169">
        <f>(0.28*0.25*21)+(1.2*0.25*2)</f>
        <v>2.0700000000000003</v>
      </c>
      <c r="G65" s="170" t="s">
        <v>314</v>
      </c>
    </row>
    <row r="66" spans="1:7" s="106" customFormat="1" ht="11.25" x14ac:dyDescent="0.2">
      <c r="A66" s="207" t="s">
        <v>42</v>
      </c>
      <c r="B66" s="120"/>
      <c r="C66" s="148"/>
      <c r="D66" s="222" t="s">
        <v>246</v>
      </c>
      <c r="E66" s="223"/>
      <c r="F66" s="173"/>
      <c r="G66" s="174"/>
    </row>
    <row r="67" spans="1:7" s="106" customFormat="1" ht="11.25" x14ac:dyDescent="0.2">
      <c r="A67" s="210" t="s">
        <v>117</v>
      </c>
      <c r="B67" s="123" t="s">
        <v>44</v>
      </c>
      <c r="C67" s="142" t="s">
        <v>183</v>
      </c>
      <c r="D67" s="183" t="s">
        <v>247</v>
      </c>
      <c r="E67" s="224" t="s">
        <v>32</v>
      </c>
      <c r="F67" s="167">
        <f>(1.88*0.28*21)+(1.2*0.6*2)</f>
        <v>12.494399999999999</v>
      </c>
      <c r="G67" s="168" t="s">
        <v>315</v>
      </c>
    </row>
    <row r="68" spans="1:7" s="106" customFormat="1" ht="22.5" x14ac:dyDescent="0.2">
      <c r="A68" s="210" t="s">
        <v>118</v>
      </c>
      <c r="B68" s="123" t="s">
        <v>44</v>
      </c>
      <c r="C68" s="142" t="s">
        <v>184</v>
      </c>
      <c r="D68" s="183" t="s">
        <v>248</v>
      </c>
      <c r="E68" s="224" t="s">
        <v>32</v>
      </c>
      <c r="F68" s="167">
        <f>(2.3+ 2.05+0.9)*0.2+ (1.68*0.2)</f>
        <v>1.3860000000000001</v>
      </c>
      <c r="G68" s="168" t="s">
        <v>317</v>
      </c>
    </row>
    <row r="69" spans="1:7" s="106" customFormat="1" ht="33.75" x14ac:dyDescent="0.2">
      <c r="A69" s="210" t="s">
        <v>119</v>
      </c>
      <c r="B69" s="123" t="s">
        <v>44</v>
      </c>
      <c r="C69" s="142" t="s">
        <v>185</v>
      </c>
      <c r="D69" s="183" t="s">
        <v>250</v>
      </c>
      <c r="E69" s="224" t="s">
        <v>32</v>
      </c>
      <c r="F69" s="167">
        <f>(1.88*0.28*21)+(1.2*0.6*2)</f>
        <v>12.494399999999999</v>
      </c>
      <c r="G69" s="168" t="s">
        <v>315</v>
      </c>
    </row>
    <row r="70" spans="1:7" s="106" customFormat="1" ht="11.25" x14ac:dyDescent="0.2">
      <c r="A70" s="210" t="s">
        <v>120</v>
      </c>
      <c r="B70" s="123" t="s">
        <v>44</v>
      </c>
      <c r="C70" s="142" t="s">
        <v>64</v>
      </c>
      <c r="D70" s="183" t="s">
        <v>251</v>
      </c>
      <c r="E70" s="212" t="s">
        <v>362</v>
      </c>
      <c r="F70" s="167">
        <v>4</v>
      </c>
      <c r="G70" s="168" t="s">
        <v>318</v>
      </c>
    </row>
    <row r="71" spans="1:7" s="106" customFormat="1" ht="11.25" x14ac:dyDescent="0.2">
      <c r="A71" s="210" t="s">
        <v>121</v>
      </c>
      <c r="B71" s="123" t="s">
        <v>44</v>
      </c>
      <c r="C71" s="142" t="s">
        <v>186</v>
      </c>
      <c r="D71" s="183" t="s">
        <v>252</v>
      </c>
      <c r="E71" s="212" t="s">
        <v>362</v>
      </c>
      <c r="F71" s="167">
        <v>2</v>
      </c>
      <c r="G71" s="168" t="s">
        <v>319</v>
      </c>
    </row>
    <row r="72" spans="1:7" s="106" customFormat="1" ht="22.5" x14ac:dyDescent="0.2">
      <c r="A72" s="210" t="s">
        <v>122</v>
      </c>
      <c r="B72" s="123" t="s">
        <v>44</v>
      </c>
      <c r="C72" s="142" t="s">
        <v>187</v>
      </c>
      <c r="D72" s="183" t="s">
        <v>253</v>
      </c>
      <c r="E72" s="212" t="s">
        <v>362</v>
      </c>
      <c r="F72" s="167">
        <v>2</v>
      </c>
      <c r="G72" s="168" t="s">
        <v>319</v>
      </c>
    </row>
    <row r="73" spans="1:7" s="106" customFormat="1" ht="11.25" x14ac:dyDescent="0.2">
      <c r="A73" s="210" t="s">
        <v>123</v>
      </c>
      <c r="B73" s="123" t="s">
        <v>44</v>
      </c>
      <c r="C73" s="142" t="s">
        <v>65</v>
      </c>
      <c r="D73" s="183" t="s">
        <v>254</v>
      </c>
      <c r="E73" s="224" t="s">
        <v>32</v>
      </c>
      <c r="F73" s="167">
        <f>0.6*1.95</f>
        <v>1.17</v>
      </c>
      <c r="G73" s="168" t="s">
        <v>327</v>
      </c>
    </row>
    <row r="74" spans="1:7" s="106" customFormat="1" ht="11.25" x14ac:dyDescent="0.2">
      <c r="A74" s="210" t="s">
        <v>124</v>
      </c>
      <c r="B74" s="123" t="s">
        <v>44</v>
      </c>
      <c r="C74" s="142" t="s">
        <v>188</v>
      </c>
      <c r="D74" s="183" t="s">
        <v>255</v>
      </c>
      <c r="E74" s="212" t="s">
        <v>362</v>
      </c>
      <c r="F74" s="167">
        <v>2</v>
      </c>
      <c r="G74" s="168" t="s">
        <v>319</v>
      </c>
    </row>
    <row r="75" spans="1:7" s="106" customFormat="1" ht="11.25" x14ac:dyDescent="0.2">
      <c r="A75" s="210" t="s">
        <v>125</v>
      </c>
      <c r="B75" s="123" t="s">
        <v>44</v>
      </c>
      <c r="C75" s="142" t="s">
        <v>189</v>
      </c>
      <c r="D75" s="183" t="s">
        <v>256</v>
      </c>
      <c r="E75" s="212" t="s">
        <v>362</v>
      </c>
      <c r="F75" s="167">
        <v>2</v>
      </c>
      <c r="G75" s="168" t="s">
        <v>319</v>
      </c>
    </row>
    <row r="76" spans="1:7" s="106" customFormat="1" ht="56.25" x14ac:dyDescent="0.2">
      <c r="A76" s="210" t="s">
        <v>126</v>
      </c>
      <c r="B76" s="123" t="s">
        <v>44</v>
      </c>
      <c r="C76" s="142" t="s">
        <v>190</v>
      </c>
      <c r="D76" s="183" t="s">
        <v>257</v>
      </c>
      <c r="E76" s="212" t="s">
        <v>362</v>
      </c>
      <c r="F76" s="167">
        <v>2</v>
      </c>
      <c r="G76" s="168" t="s">
        <v>319</v>
      </c>
    </row>
    <row r="77" spans="1:7" s="106" customFormat="1" ht="22.5" x14ac:dyDescent="0.2">
      <c r="A77" s="210" t="s">
        <v>127</v>
      </c>
      <c r="B77" s="123" t="s">
        <v>44</v>
      </c>
      <c r="C77" s="142" t="s">
        <v>191</v>
      </c>
      <c r="D77" s="183" t="s">
        <v>258</v>
      </c>
      <c r="E77" s="212" t="s">
        <v>362</v>
      </c>
      <c r="F77" s="167">
        <v>2</v>
      </c>
      <c r="G77" s="168" t="s">
        <v>319</v>
      </c>
    </row>
    <row r="78" spans="1:7" s="106" customFormat="1" ht="56.25" x14ac:dyDescent="0.2">
      <c r="A78" s="210" t="s">
        <v>128</v>
      </c>
      <c r="B78" s="123" t="s">
        <v>44</v>
      </c>
      <c r="C78" s="142" t="s">
        <v>192</v>
      </c>
      <c r="D78" s="183" t="s">
        <v>259</v>
      </c>
      <c r="E78" s="212" t="s">
        <v>362</v>
      </c>
      <c r="F78" s="167">
        <v>1</v>
      </c>
      <c r="G78" s="168" t="s">
        <v>320</v>
      </c>
    </row>
    <row r="79" spans="1:7" s="106" customFormat="1" ht="33.75" x14ac:dyDescent="0.2">
      <c r="A79" s="210" t="s">
        <v>129</v>
      </c>
      <c r="B79" s="123" t="s">
        <v>44</v>
      </c>
      <c r="C79" s="142" t="s">
        <v>63</v>
      </c>
      <c r="D79" s="183" t="s">
        <v>260</v>
      </c>
      <c r="E79" s="212" t="s">
        <v>362</v>
      </c>
      <c r="F79" s="167">
        <v>2</v>
      </c>
      <c r="G79" s="168" t="s">
        <v>319</v>
      </c>
    </row>
    <row r="80" spans="1:7" s="106" customFormat="1" ht="22.5" x14ac:dyDescent="0.2">
      <c r="A80" s="210" t="s">
        <v>130</v>
      </c>
      <c r="B80" s="123" t="s">
        <v>44</v>
      </c>
      <c r="C80" s="142" t="s">
        <v>193</v>
      </c>
      <c r="D80" s="183" t="s">
        <v>261</v>
      </c>
      <c r="E80" s="212" t="s">
        <v>362</v>
      </c>
      <c r="F80" s="167">
        <v>1</v>
      </c>
      <c r="G80" s="168" t="s">
        <v>321</v>
      </c>
    </row>
    <row r="81" spans="1:7" s="106" customFormat="1" ht="22.5" x14ac:dyDescent="0.2">
      <c r="A81" s="210" t="s">
        <v>131</v>
      </c>
      <c r="B81" s="123" t="s">
        <v>44</v>
      </c>
      <c r="C81" s="142" t="s">
        <v>194</v>
      </c>
      <c r="D81" s="183" t="s">
        <v>262</v>
      </c>
      <c r="E81" s="212" t="s">
        <v>362</v>
      </c>
      <c r="F81" s="167">
        <v>1</v>
      </c>
      <c r="G81" s="168" t="s">
        <v>322</v>
      </c>
    </row>
    <row r="82" spans="1:7" s="106" customFormat="1" ht="33.75" x14ac:dyDescent="0.2">
      <c r="A82" s="210" t="s">
        <v>132</v>
      </c>
      <c r="B82" s="123" t="s">
        <v>44</v>
      </c>
      <c r="C82" s="142" t="s">
        <v>195</v>
      </c>
      <c r="D82" s="183" t="s">
        <v>263</v>
      </c>
      <c r="E82" s="212" t="s">
        <v>362</v>
      </c>
      <c r="F82" s="167">
        <v>1</v>
      </c>
      <c r="G82" s="168" t="s">
        <v>323</v>
      </c>
    </row>
    <row r="83" spans="1:7" s="106" customFormat="1" ht="11.25" x14ac:dyDescent="0.2">
      <c r="A83" s="210" t="s">
        <v>133</v>
      </c>
      <c r="B83" s="123" t="s">
        <v>44</v>
      </c>
      <c r="C83" s="142" t="s">
        <v>196</v>
      </c>
      <c r="D83" s="183" t="s">
        <v>264</v>
      </c>
      <c r="E83" s="212" t="s">
        <v>362</v>
      </c>
      <c r="F83" s="167">
        <v>1</v>
      </c>
      <c r="G83" s="168" t="s">
        <v>324</v>
      </c>
    </row>
    <row r="84" spans="1:7" s="106" customFormat="1" ht="33.75" x14ac:dyDescent="0.2">
      <c r="A84" s="210" t="s">
        <v>134</v>
      </c>
      <c r="B84" s="123" t="s">
        <v>44</v>
      </c>
      <c r="C84" s="142" t="s">
        <v>197</v>
      </c>
      <c r="D84" s="183" t="s">
        <v>265</v>
      </c>
      <c r="E84" s="212" t="s">
        <v>362</v>
      </c>
      <c r="F84" s="167">
        <v>2</v>
      </c>
      <c r="G84" s="168" t="s">
        <v>319</v>
      </c>
    </row>
    <row r="85" spans="1:7" s="106" customFormat="1" ht="11.25" x14ac:dyDescent="0.2">
      <c r="A85" s="210" t="s">
        <v>135</v>
      </c>
      <c r="B85" s="123" t="s">
        <v>44</v>
      </c>
      <c r="C85" s="142" t="s">
        <v>66</v>
      </c>
      <c r="D85" s="183" t="s">
        <v>266</v>
      </c>
      <c r="E85" s="212" t="s">
        <v>362</v>
      </c>
      <c r="F85" s="167">
        <v>2</v>
      </c>
      <c r="G85" s="168" t="s">
        <v>319</v>
      </c>
    </row>
    <row r="86" spans="1:7" s="106" customFormat="1" ht="22.5" x14ac:dyDescent="0.2">
      <c r="A86" s="210" t="s">
        <v>136</v>
      </c>
      <c r="B86" s="123" t="s">
        <v>44</v>
      </c>
      <c r="C86" s="142" t="s">
        <v>198</v>
      </c>
      <c r="D86" s="183" t="s">
        <v>267</v>
      </c>
      <c r="E86" s="212" t="s">
        <v>362</v>
      </c>
      <c r="F86" s="167">
        <v>1</v>
      </c>
      <c r="G86" s="168" t="s">
        <v>325</v>
      </c>
    </row>
    <row r="87" spans="1:7" s="106" customFormat="1" ht="22.5" x14ac:dyDescent="0.2">
      <c r="A87" s="210" t="s">
        <v>137</v>
      </c>
      <c r="B87" s="123" t="s">
        <v>44</v>
      </c>
      <c r="C87" s="142" t="s">
        <v>59</v>
      </c>
      <c r="D87" s="183" t="s">
        <v>268</v>
      </c>
      <c r="E87" s="212" t="s">
        <v>362</v>
      </c>
      <c r="F87" s="167">
        <v>2</v>
      </c>
      <c r="G87" s="168" t="s">
        <v>326</v>
      </c>
    </row>
    <row r="88" spans="1:7" s="106" customFormat="1" ht="22.5" x14ac:dyDescent="0.2">
      <c r="A88" s="210" t="s">
        <v>138</v>
      </c>
      <c r="B88" s="123" t="s">
        <v>44</v>
      </c>
      <c r="C88" s="142" t="s">
        <v>199</v>
      </c>
      <c r="D88" s="183" t="s">
        <v>269</v>
      </c>
      <c r="E88" s="212" t="s">
        <v>362</v>
      </c>
      <c r="F88" s="167">
        <v>2</v>
      </c>
      <c r="G88" s="168" t="s">
        <v>319</v>
      </c>
    </row>
    <row r="89" spans="1:7" s="106" customFormat="1" ht="33.75" x14ac:dyDescent="0.2">
      <c r="A89" s="210" t="s">
        <v>139</v>
      </c>
      <c r="B89" s="123" t="s">
        <v>44</v>
      </c>
      <c r="C89" s="142" t="s">
        <v>62</v>
      </c>
      <c r="D89" s="183" t="s">
        <v>270</v>
      </c>
      <c r="E89" s="224" t="s">
        <v>32</v>
      </c>
      <c r="F89" s="167">
        <f>(0.6*2.1*3)+(0.9*2.1*3*2)+(0.8*2.1*3*2)</f>
        <v>25.200000000000003</v>
      </c>
      <c r="G89" s="168" t="s">
        <v>414</v>
      </c>
    </row>
    <row r="90" spans="1:7" s="106" customFormat="1" ht="33.75" x14ac:dyDescent="0.2">
      <c r="A90" s="210" t="s">
        <v>140</v>
      </c>
      <c r="B90" s="123" t="s">
        <v>44</v>
      </c>
      <c r="C90" s="142" t="s">
        <v>45</v>
      </c>
      <c r="D90" s="183" t="s">
        <v>46</v>
      </c>
      <c r="E90" s="224" t="s">
        <v>32</v>
      </c>
      <c r="F90" s="167">
        <f>(1.4*2.1)+(3.45*2.5)+(3.7*2.5)</f>
        <v>20.814999999999998</v>
      </c>
      <c r="G90" s="168" t="s">
        <v>328</v>
      </c>
    </row>
    <row r="91" spans="1:7" s="106" customFormat="1" ht="45" x14ac:dyDescent="0.2">
      <c r="A91" s="210" t="s">
        <v>141</v>
      </c>
      <c r="B91" s="124" t="s">
        <v>44</v>
      </c>
      <c r="C91" s="149" t="s">
        <v>61</v>
      </c>
      <c r="D91" s="225" t="s">
        <v>249</v>
      </c>
      <c r="E91" s="226" t="s">
        <v>32</v>
      </c>
      <c r="F91" s="169">
        <f>(1.4*2.1*2)+(3.45*2.5*2)+(3.7*2.5*2)+(1.88*0.28*21)+(1.2*0.6*2)</f>
        <v>54.124399999999994</v>
      </c>
      <c r="G91" s="170" t="s">
        <v>420</v>
      </c>
    </row>
    <row r="92" spans="1:7" s="106" customFormat="1" ht="11.25" x14ac:dyDescent="0.2">
      <c r="A92" s="207">
        <v>5</v>
      </c>
      <c r="B92" s="120"/>
      <c r="C92" s="148"/>
      <c r="D92" s="222" t="s">
        <v>271</v>
      </c>
      <c r="E92" s="223"/>
      <c r="F92" s="180"/>
      <c r="G92" s="181"/>
    </row>
    <row r="93" spans="1:7" s="106" customFormat="1" ht="33.75" x14ac:dyDescent="0.2">
      <c r="A93" s="210" t="s">
        <v>21</v>
      </c>
      <c r="B93" s="123" t="s">
        <v>44</v>
      </c>
      <c r="C93" s="139" t="s">
        <v>331</v>
      </c>
      <c r="D93" s="184" t="s">
        <v>332</v>
      </c>
      <c r="E93" s="185" t="s">
        <v>362</v>
      </c>
      <c r="F93" s="167">
        <v>10</v>
      </c>
      <c r="G93" s="168" t="s">
        <v>334</v>
      </c>
    </row>
    <row r="94" spans="1:7" s="106" customFormat="1" ht="33.75" x14ac:dyDescent="0.2">
      <c r="A94" s="210" t="s">
        <v>22</v>
      </c>
      <c r="B94" s="123" t="s">
        <v>44</v>
      </c>
      <c r="C94" s="139" t="s">
        <v>329</v>
      </c>
      <c r="D94" s="184" t="s">
        <v>330</v>
      </c>
      <c r="E94" s="185" t="s">
        <v>362</v>
      </c>
      <c r="F94" s="167">
        <f>2+2+1+1+1+1+3</f>
        <v>11</v>
      </c>
      <c r="G94" s="168" t="s">
        <v>335</v>
      </c>
    </row>
    <row r="95" spans="1:7" s="106" customFormat="1" ht="11.25" x14ac:dyDescent="0.2">
      <c r="A95" s="210" t="s">
        <v>41</v>
      </c>
      <c r="B95" s="123" t="s">
        <v>44</v>
      </c>
      <c r="C95" s="142" t="s">
        <v>345</v>
      </c>
      <c r="D95" s="183" t="s">
        <v>346</v>
      </c>
      <c r="E95" s="212" t="s">
        <v>362</v>
      </c>
      <c r="F95" s="167">
        <v>4</v>
      </c>
      <c r="G95" s="168" t="s">
        <v>336</v>
      </c>
    </row>
    <row r="96" spans="1:7" s="106" customFormat="1" ht="11.25" x14ac:dyDescent="0.2">
      <c r="A96" s="210" t="s">
        <v>142</v>
      </c>
      <c r="B96" s="123" t="s">
        <v>44</v>
      </c>
      <c r="C96" s="142" t="s">
        <v>200</v>
      </c>
      <c r="D96" s="183" t="s">
        <v>272</v>
      </c>
      <c r="E96" s="212" t="s">
        <v>362</v>
      </c>
      <c r="F96" s="167">
        <v>3</v>
      </c>
      <c r="G96" s="168" t="s">
        <v>337</v>
      </c>
    </row>
    <row r="97" spans="1:7" s="106" customFormat="1" ht="11.25" x14ac:dyDescent="0.2">
      <c r="A97" s="210" t="s">
        <v>143</v>
      </c>
      <c r="B97" s="123" t="s">
        <v>44</v>
      </c>
      <c r="C97" s="142" t="s">
        <v>201</v>
      </c>
      <c r="D97" s="183" t="s">
        <v>273</v>
      </c>
      <c r="E97" s="212" t="s">
        <v>362</v>
      </c>
      <c r="F97" s="167">
        <v>1</v>
      </c>
      <c r="G97" s="168" t="s">
        <v>333</v>
      </c>
    </row>
    <row r="98" spans="1:7" s="106" customFormat="1" ht="11.25" x14ac:dyDescent="0.2">
      <c r="A98" s="210" t="s">
        <v>144</v>
      </c>
      <c r="B98" s="123" t="s">
        <v>44</v>
      </c>
      <c r="C98" s="142" t="s">
        <v>202</v>
      </c>
      <c r="D98" s="183" t="s">
        <v>274</v>
      </c>
      <c r="E98" s="212" t="s">
        <v>362</v>
      </c>
      <c r="F98" s="167">
        <v>19</v>
      </c>
      <c r="G98" s="168" t="s">
        <v>338</v>
      </c>
    </row>
    <row r="99" spans="1:7" s="106" customFormat="1" ht="22.5" x14ac:dyDescent="0.2">
      <c r="A99" s="210" t="s">
        <v>145</v>
      </c>
      <c r="B99" s="123" t="s">
        <v>44</v>
      </c>
      <c r="C99" s="142" t="s">
        <v>340</v>
      </c>
      <c r="D99" s="183" t="s">
        <v>339</v>
      </c>
      <c r="E99" s="212" t="s">
        <v>362</v>
      </c>
      <c r="F99" s="167">
        <v>21</v>
      </c>
      <c r="G99" s="168" t="s">
        <v>348</v>
      </c>
    </row>
    <row r="100" spans="1:7" s="106" customFormat="1" ht="22.5" x14ac:dyDescent="0.2">
      <c r="A100" s="210" t="s">
        <v>146</v>
      </c>
      <c r="B100" s="123" t="s">
        <v>44</v>
      </c>
      <c r="C100" s="150" t="s">
        <v>341</v>
      </c>
      <c r="D100" s="183" t="s">
        <v>342</v>
      </c>
      <c r="E100" s="212" t="s">
        <v>362</v>
      </c>
      <c r="F100" s="167">
        <v>8</v>
      </c>
      <c r="G100" s="168" t="s">
        <v>347</v>
      </c>
    </row>
    <row r="101" spans="1:7" s="106" customFormat="1" ht="22.5" x14ac:dyDescent="0.2">
      <c r="A101" s="210" t="s">
        <v>147</v>
      </c>
      <c r="B101" s="135" t="s">
        <v>44</v>
      </c>
      <c r="C101" s="136" t="s">
        <v>343</v>
      </c>
      <c r="D101" s="183" t="s">
        <v>344</v>
      </c>
      <c r="E101" s="212" t="s">
        <v>362</v>
      </c>
      <c r="F101" s="167">
        <v>19</v>
      </c>
      <c r="G101" s="168" t="s">
        <v>338</v>
      </c>
    </row>
    <row r="102" spans="1:7" s="106" customFormat="1" ht="11.25" x14ac:dyDescent="0.2">
      <c r="A102" s="210" t="s">
        <v>148</v>
      </c>
      <c r="B102" s="123" t="s">
        <v>44</v>
      </c>
      <c r="C102" s="142" t="s">
        <v>51</v>
      </c>
      <c r="D102" s="183" t="s">
        <v>359</v>
      </c>
      <c r="E102" s="212" t="s">
        <v>362</v>
      </c>
      <c r="F102" s="167">
        <v>2</v>
      </c>
      <c r="G102" s="168" t="s">
        <v>351</v>
      </c>
    </row>
    <row r="103" spans="1:7" s="106" customFormat="1" ht="11.25" x14ac:dyDescent="0.2">
      <c r="A103" s="210" t="s">
        <v>149</v>
      </c>
      <c r="B103" s="123" t="s">
        <v>44</v>
      </c>
      <c r="C103" s="142" t="s">
        <v>203</v>
      </c>
      <c r="D103" s="183" t="s">
        <v>360</v>
      </c>
      <c r="E103" s="212" t="s">
        <v>362</v>
      </c>
      <c r="F103" s="167">
        <v>2</v>
      </c>
      <c r="G103" s="168" t="s">
        <v>352</v>
      </c>
    </row>
    <row r="104" spans="1:7" s="106" customFormat="1" ht="11.25" x14ac:dyDescent="0.2">
      <c r="A104" s="210" t="s">
        <v>150</v>
      </c>
      <c r="B104" s="123" t="s">
        <v>44</v>
      </c>
      <c r="C104" s="142" t="s">
        <v>204</v>
      </c>
      <c r="D104" s="183" t="s">
        <v>361</v>
      </c>
      <c r="E104" s="212" t="s">
        <v>362</v>
      </c>
      <c r="F104" s="167">
        <v>1</v>
      </c>
      <c r="G104" s="168" t="s">
        <v>353</v>
      </c>
    </row>
    <row r="105" spans="1:7" s="106" customFormat="1" ht="11.25" x14ac:dyDescent="0.2">
      <c r="A105" s="210" t="s">
        <v>151</v>
      </c>
      <c r="B105" s="123" t="s">
        <v>44</v>
      </c>
      <c r="C105" s="142" t="s">
        <v>349</v>
      </c>
      <c r="D105" s="183" t="s">
        <v>350</v>
      </c>
      <c r="E105" s="212" t="s">
        <v>362</v>
      </c>
      <c r="F105" s="167">
        <v>1</v>
      </c>
      <c r="G105" s="168" t="s">
        <v>358</v>
      </c>
    </row>
    <row r="106" spans="1:7" s="106" customFormat="1" ht="11.25" x14ac:dyDescent="0.2">
      <c r="A106" s="210" t="s">
        <v>152</v>
      </c>
      <c r="B106" s="123" t="s">
        <v>44</v>
      </c>
      <c r="C106" s="142" t="s">
        <v>205</v>
      </c>
      <c r="D106" s="183" t="s">
        <v>275</v>
      </c>
      <c r="E106" s="212" t="s">
        <v>362</v>
      </c>
      <c r="F106" s="167">
        <v>1</v>
      </c>
      <c r="G106" s="168" t="s">
        <v>356</v>
      </c>
    </row>
    <row r="107" spans="1:7" s="106" customFormat="1" ht="11.25" x14ac:dyDescent="0.2">
      <c r="A107" s="210" t="s">
        <v>153</v>
      </c>
      <c r="B107" s="123" t="s">
        <v>38</v>
      </c>
      <c r="C107" s="142" t="s">
        <v>38</v>
      </c>
      <c r="D107" s="184" t="s">
        <v>365</v>
      </c>
      <c r="E107" s="212" t="s">
        <v>362</v>
      </c>
      <c r="F107" s="167">
        <v>1</v>
      </c>
      <c r="G107" s="168" t="s">
        <v>364</v>
      </c>
    </row>
    <row r="108" spans="1:7" s="106" customFormat="1" ht="11.25" x14ac:dyDescent="0.2">
      <c r="A108" s="210" t="s">
        <v>154</v>
      </c>
      <c r="B108" s="123" t="s">
        <v>44</v>
      </c>
      <c r="C108" s="142" t="s">
        <v>206</v>
      </c>
      <c r="D108" s="183" t="s">
        <v>355</v>
      </c>
      <c r="E108" s="212" t="s">
        <v>362</v>
      </c>
      <c r="F108" s="167">
        <v>1</v>
      </c>
      <c r="G108" s="168" t="s">
        <v>357</v>
      </c>
    </row>
    <row r="109" spans="1:7" s="106" customFormat="1" ht="11.25" x14ac:dyDescent="0.2">
      <c r="A109" s="210" t="s">
        <v>155</v>
      </c>
      <c r="B109" s="124" t="s">
        <v>44</v>
      </c>
      <c r="C109" s="149" t="s">
        <v>207</v>
      </c>
      <c r="D109" s="225" t="s">
        <v>276</v>
      </c>
      <c r="E109" s="212" t="s">
        <v>362</v>
      </c>
      <c r="F109" s="169">
        <v>1</v>
      </c>
      <c r="G109" s="170" t="s">
        <v>354</v>
      </c>
    </row>
    <row r="110" spans="1:7" s="106" customFormat="1" ht="11.25" x14ac:dyDescent="0.2">
      <c r="A110" s="207">
        <v>6</v>
      </c>
      <c r="B110" s="120"/>
      <c r="C110" s="148"/>
      <c r="D110" s="222" t="s">
        <v>277</v>
      </c>
      <c r="E110" s="223"/>
      <c r="F110" s="173"/>
      <c r="G110" s="174"/>
    </row>
    <row r="111" spans="1:7" s="106" customFormat="1" ht="22.5" x14ac:dyDescent="0.2">
      <c r="A111" s="210" t="s">
        <v>23</v>
      </c>
      <c r="B111" s="123" t="s">
        <v>44</v>
      </c>
      <c r="C111" s="139" t="s">
        <v>366</v>
      </c>
      <c r="D111" s="184" t="s">
        <v>367</v>
      </c>
      <c r="E111" s="186" t="s">
        <v>362</v>
      </c>
      <c r="F111" s="167">
        <v>7</v>
      </c>
      <c r="G111" s="168" t="s">
        <v>369</v>
      </c>
    </row>
    <row r="112" spans="1:7" s="106" customFormat="1" ht="33.75" x14ac:dyDescent="0.2">
      <c r="A112" s="210" t="s">
        <v>25</v>
      </c>
      <c r="B112" s="123" t="s">
        <v>44</v>
      </c>
      <c r="C112" s="139" t="s">
        <v>377</v>
      </c>
      <c r="D112" s="184" t="s">
        <v>378</v>
      </c>
      <c r="E112" s="186" t="s">
        <v>362</v>
      </c>
      <c r="F112" s="167">
        <v>3</v>
      </c>
      <c r="G112" s="168" t="s">
        <v>381</v>
      </c>
    </row>
    <row r="113" spans="1:7" s="106" customFormat="1" ht="22.5" x14ac:dyDescent="0.2">
      <c r="A113" s="210" t="s">
        <v>30</v>
      </c>
      <c r="B113" s="123" t="s">
        <v>44</v>
      </c>
      <c r="C113" s="139" t="s">
        <v>372</v>
      </c>
      <c r="D113" s="184" t="s">
        <v>373</v>
      </c>
      <c r="E113" s="185" t="s">
        <v>362</v>
      </c>
      <c r="F113" s="167">
        <v>1</v>
      </c>
      <c r="G113" s="168" t="s">
        <v>371</v>
      </c>
    </row>
    <row r="114" spans="1:7" s="106" customFormat="1" ht="22.5" x14ac:dyDescent="0.2">
      <c r="A114" s="210" t="s">
        <v>43</v>
      </c>
      <c r="B114" s="123" t="s">
        <v>44</v>
      </c>
      <c r="C114" s="139" t="s">
        <v>208</v>
      </c>
      <c r="D114" s="184" t="s">
        <v>278</v>
      </c>
      <c r="E114" s="185" t="s">
        <v>362</v>
      </c>
      <c r="F114" s="167">
        <v>1</v>
      </c>
      <c r="G114" s="168" t="s">
        <v>376</v>
      </c>
    </row>
    <row r="115" spans="1:7" s="106" customFormat="1" ht="22.5" x14ac:dyDescent="0.2">
      <c r="A115" s="210" t="s">
        <v>48</v>
      </c>
      <c r="B115" s="123" t="s">
        <v>44</v>
      </c>
      <c r="C115" s="139" t="s">
        <v>374</v>
      </c>
      <c r="D115" s="184" t="s">
        <v>375</v>
      </c>
      <c r="E115" s="185" t="s">
        <v>362</v>
      </c>
      <c r="F115" s="167">
        <v>1</v>
      </c>
      <c r="G115" s="168" t="s">
        <v>376</v>
      </c>
    </row>
    <row r="116" spans="1:7" s="106" customFormat="1" ht="11.25" x14ac:dyDescent="0.2">
      <c r="A116" s="210" t="s">
        <v>156</v>
      </c>
      <c r="B116" s="123" t="s">
        <v>44</v>
      </c>
      <c r="C116" s="139" t="s">
        <v>209</v>
      </c>
      <c r="D116" s="184" t="s">
        <v>279</v>
      </c>
      <c r="E116" s="185" t="s">
        <v>362</v>
      </c>
      <c r="F116" s="167">
        <v>1</v>
      </c>
      <c r="G116" s="168" t="s">
        <v>368</v>
      </c>
    </row>
    <row r="117" spans="1:7" s="106" customFormat="1" ht="11.25" x14ac:dyDescent="0.2">
      <c r="A117" s="210" t="s">
        <v>157</v>
      </c>
      <c r="B117" s="123" t="s">
        <v>44</v>
      </c>
      <c r="C117" s="139" t="s">
        <v>210</v>
      </c>
      <c r="D117" s="184" t="s">
        <v>280</v>
      </c>
      <c r="E117" s="185" t="s">
        <v>362</v>
      </c>
      <c r="F117" s="167">
        <v>1</v>
      </c>
      <c r="G117" s="168" t="s">
        <v>370</v>
      </c>
    </row>
    <row r="118" spans="1:7" s="106" customFormat="1" ht="22.5" x14ac:dyDescent="0.2">
      <c r="A118" s="210" t="s">
        <v>158</v>
      </c>
      <c r="B118" s="123" t="s">
        <v>44</v>
      </c>
      <c r="C118" s="139" t="s">
        <v>379</v>
      </c>
      <c r="D118" s="184" t="s">
        <v>380</v>
      </c>
      <c r="E118" s="185" t="s">
        <v>362</v>
      </c>
      <c r="F118" s="167">
        <v>2</v>
      </c>
      <c r="G118" s="168" t="s">
        <v>384</v>
      </c>
    </row>
    <row r="119" spans="1:7" s="106" customFormat="1" ht="22.5" x14ac:dyDescent="0.2">
      <c r="A119" s="210" t="s">
        <v>159</v>
      </c>
      <c r="B119" s="123" t="s">
        <v>44</v>
      </c>
      <c r="C119" s="139" t="s">
        <v>382</v>
      </c>
      <c r="D119" s="184" t="s">
        <v>383</v>
      </c>
      <c r="E119" s="186" t="s">
        <v>362</v>
      </c>
      <c r="F119" s="167">
        <v>4</v>
      </c>
      <c r="G119" s="168" t="s">
        <v>387</v>
      </c>
    </row>
    <row r="120" spans="1:7" s="106" customFormat="1" ht="22.5" x14ac:dyDescent="0.2">
      <c r="A120" s="210" t="s">
        <v>160</v>
      </c>
      <c r="B120" s="123" t="s">
        <v>44</v>
      </c>
      <c r="C120" s="139" t="s">
        <v>385</v>
      </c>
      <c r="D120" s="184" t="s">
        <v>386</v>
      </c>
      <c r="E120" s="186" t="s">
        <v>362</v>
      </c>
      <c r="F120" s="167">
        <v>4</v>
      </c>
      <c r="G120" s="168" t="s">
        <v>388</v>
      </c>
    </row>
    <row r="121" spans="1:7" s="106" customFormat="1" ht="22.5" x14ac:dyDescent="0.2">
      <c r="A121" s="210" t="s">
        <v>161</v>
      </c>
      <c r="B121" s="123" t="s">
        <v>44</v>
      </c>
      <c r="C121" s="139" t="s">
        <v>391</v>
      </c>
      <c r="D121" s="184" t="s">
        <v>392</v>
      </c>
      <c r="E121" s="186" t="s">
        <v>363</v>
      </c>
      <c r="F121" s="167">
        <v>10</v>
      </c>
      <c r="G121" s="168" t="s">
        <v>393</v>
      </c>
    </row>
    <row r="122" spans="1:7" s="106" customFormat="1" ht="11.25" x14ac:dyDescent="0.2">
      <c r="A122" s="210" t="s">
        <v>162</v>
      </c>
      <c r="B122" s="123" t="s">
        <v>44</v>
      </c>
      <c r="C122" s="139" t="s">
        <v>389</v>
      </c>
      <c r="D122" s="184" t="s">
        <v>390</v>
      </c>
      <c r="E122" s="186" t="s">
        <v>362</v>
      </c>
      <c r="F122" s="167">
        <v>1</v>
      </c>
      <c r="G122" s="168" t="s">
        <v>394</v>
      </c>
    </row>
    <row r="123" spans="1:7" s="106" customFormat="1" ht="22.5" x14ac:dyDescent="0.2">
      <c r="A123" s="210" t="s">
        <v>163</v>
      </c>
      <c r="B123" s="123" t="s">
        <v>44</v>
      </c>
      <c r="C123" s="139" t="s">
        <v>211</v>
      </c>
      <c r="D123" s="184" t="s">
        <v>281</v>
      </c>
      <c r="E123" s="185" t="s">
        <v>362</v>
      </c>
      <c r="F123" s="167">
        <v>4</v>
      </c>
      <c r="G123" s="168" t="s">
        <v>395</v>
      </c>
    </row>
    <row r="124" spans="1:7" s="106" customFormat="1" ht="45" x14ac:dyDescent="0.2">
      <c r="A124" s="210" t="s">
        <v>164</v>
      </c>
      <c r="B124" s="123" t="s">
        <v>44</v>
      </c>
      <c r="C124" s="139" t="s">
        <v>396</v>
      </c>
      <c r="D124" s="184" t="s">
        <v>397</v>
      </c>
      <c r="E124" s="186" t="s">
        <v>362</v>
      </c>
      <c r="F124" s="167">
        <v>2</v>
      </c>
      <c r="G124" s="168" t="s">
        <v>398</v>
      </c>
    </row>
    <row r="125" spans="1:7" s="106" customFormat="1" ht="11.25" x14ac:dyDescent="0.2">
      <c r="A125" s="207">
        <v>7</v>
      </c>
      <c r="B125" s="126"/>
      <c r="C125" s="138"/>
      <c r="D125" s="206" t="s">
        <v>282</v>
      </c>
      <c r="E125" s="187"/>
      <c r="F125" s="173"/>
      <c r="G125" s="174"/>
    </row>
    <row r="126" spans="1:7" s="106" customFormat="1" ht="11.25" x14ac:dyDescent="0.2">
      <c r="A126" s="214" t="s">
        <v>24</v>
      </c>
      <c r="B126" s="125" t="s">
        <v>44</v>
      </c>
      <c r="C126" s="140" t="s">
        <v>67</v>
      </c>
      <c r="D126" s="188" t="s">
        <v>400</v>
      </c>
      <c r="E126" s="189" t="s">
        <v>32</v>
      </c>
      <c r="F126" s="169">
        <f>6.45*6.45+3.9*(10.35-1.05)+3.9*(6.45-1.05)</f>
        <v>98.932500000000005</v>
      </c>
      <c r="G126" s="182" t="s">
        <v>399</v>
      </c>
    </row>
    <row r="127" spans="1:7" x14ac:dyDescent="0.2">
      <c r="A127" s="197"/>
      <c r="B127" s="198"/>
      <c r="C127" s="198"/>
      <c r="D127" s="31"/>
      <c r="E127" s="30"/>
      <c r="F127" s="87"/>
      <c r="G127" s="88"/>
    </row>
    <row r="128" spans="1:7" x14ac:dyDescent="0.2">
      <c r="A128" s="197"/>
      <c r="B128" s="198"/>
      <c r="C128" s="198"/>
      <c r="D128" s="32"/>
      <c r="E128" s="198"/>
      <c r="F128" s="89"/>
      <c r="G128" s="90"/>
    </row>
    <row r="129" spans="1:7" x14ac:dyDescent="0.2">
      <c r="A129" s="197"/>
      <c r="B129" s="198"/>
      <c r="C129" s="198"/>
      <c r="D129" s="32"/>
      <c r="E129" s="198"/>
      <c r="F129" s="89"/>
      <c r="G129" s="90"/>
    </row>
    <row r="130" spans="1:7" x14ac:dyDescent="0.2">
      <c r="A130" s="197"/>
      <c r="B130" s="29"/>
      <c r="C130" s="29"/>
      <c r="D130" s="112" t="s">
        <v>37</v>
      </c>
      <c r="E130" s="198"/>
      <c r="F130" s="89"/>
      <c r="G130" s="203" t="s">
        <v>37</v>
      </c>
    </row>
    <row r="131" spans="1:7" x14ac:dyDescent="0.2">
      <c r="A131" s="93"/>
      <c r="B131" s="29"/>
      <c r="C131" s="29"/>
      <c r="D131" s="118" t="s">
        <v>73</v>
      </c>
      <c r="E131" s="198"/>
      <c r="F131" s="89"/>
      <c r="G131" s="204" t="s">
        <v>75</v>
      </c>
    </row>
    <row r="132" spans="1:7" x14ac:dyDescent="0.2">
      <c r="A132" s="258"/>
      <c r="B132" s="259"/>
      <c r="C132" s="259"/>
      <c r="D132" s="117" t="s">
        <v>74</v>
      </c>
      <c r="E132" s="198"/>
      <c r="F132" s="89"/>
      <c r="G132" s="205" t="s">
        <v>76</v>
      </c>
    </row>
    <row r="133" spans="1:7" x14ac:dyDescent="0.2">
      <c r="A133" s="197"/>
      <c r="B133" s="198"/>
      <c r="C133" s="198"/>
      <c r="D133" s="32"/>
      <c r="E133" s="198"/>
      <c r="F133" s="89"/>
      <c r="G133" s="90"/>
    </row>
    <row r="134" spans="1:7" x14ac:dyDescent="0.2">
      <c r="A134" s="34"/>
      <c r="B134" s="35"/>
      <c r="C134" s="35"/>
      <c r="D134" s="26"/>
      <c r="E134" s="35"/>
      <c r="F134" s="91"/>
      <c r="G134" s="92"/>
    </row>
    <row r="143" spans="1:7" x14ac:dyDescent="0.2">
      <c r="G143" s="79"/>
    </row>
    <row r="144" spans="1:7" x14ac:dyDescent="0.2">
      <c r="G144" s="79"/>
    </row>
    <row r="145" spans="7:7" x14ac:dyDescent="0.2">
      <c r="G145" s="79"/>
    </row>
  </sheetData>
  <autoFilter ref="A7:G126"/>
  <mergeCells count="2">
    <mergeCell ref="A132:C132"/>
    <mergeCell ref="A1:G1"/>
  </mergeCells>
  <printOptions horizontalCentered="1"/>
  <pageMargins left="0.39370078740157483" right="0.39370078740157483" top="0.86614173228346458" bottom="0.78740157480314965" header="0.51181102362204722" footer="0.51181102362204722"/>
  <pageSetup paperSize="9" scale="66" fitToHeight="0" orientation="landscape" horizontalDpi="4294967293" r:id="rId1"/>
  <headerFooter alignWithMargins="0">
    <oddFooter>Página &amp;P de &amp;N</oddFooter>
  </headerFooter>
  <ignoredErrors>
    <ignoredError sqref="F68 F42"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J34"/>
  <sheetViews>
    <sheetView showGridLines="0" view="pageBreakPreview" zoomScale="85" zoomScaleNormal="75" zoomScaleSheetLayoutView="85" workbookViewId="0">
      <pane xSplit="2" ySplit="8" topLeftCell="C9" activePane="bottomRight" state="frozen"/>
      <selection pane="topRight" activeCell="C1" sqref="C1"/>
      <selection pane="bottomLeft" activeCell="A8" sqref="A8"/>
      <selection pane="bottomRight" activeCell="K18" sqref="K18"/>
    </sheetView>
  </sheetViews>
  <sheetFormatPr defaultColWidth="9.140625" defaultRowHeight="12.75" x14ac:dyDescent="0.2"/>
  <cols>
    <col min="1" max="1" width="6.85546875" style="15" customWidth="1"/>
    <col min="2" max="2" width="44.140625" style="99" bestFit="1" customWidth="1"/>
    <col min="3" max="3" width="13.140625" style="15" bestFit="1" customWidth="1"/>
    <col min="4" max="4" width="15" style="15" customWidth="1"/>
    <col min="5" max="5" width="13.140625" style="15" bestFit="1" customWidth="1"/>
    <col min="6" max="6" width="13.140625" style="15" customWidth="1"/>
    <col min="7" max="7" width="12" style="15" bestFit="1" customWidth="1"/>
    <col min="8" max="8" width="19" style="15" customWidth="1"/>
    <col min="9" max="9" width="9.140625" style="15"/>
    <col min="10" max="10" width="11" style="15" bestFit="1" customWidth="1"/>
    <col min="11" max="16384" width="9.140625" style="15"/>
  </cols>
  <sheetData>
    <row r="1" spans="1:10" s="14" customFormat="1" ht="69.95" customHeight="1" x14ac:dyDescent="0.2">
      <c r="A1" s="46"/>
      <c r="B1" s="96"/>
      <c r="C1" s="47"/>
      <c r="D1" s="47"/>
      <c r="E1" s="47"/>
      <c r="F1" s="47"/>
      <c r="G1" s="47"/>
      <c r="H1" s="48"/>
    </row>
    <row r="2" spans="1:10" s="14" customFormat="1" ht="3" customHeight="1" x14ac:dyDescent="0.2">
      <c r="A2" s="46"/>
      <c r="B2" s="96"/>
      <c r="C2" s="47"/>
      <c r="D2" s="47"/>
      <c r="E2" s="47"/>
      <c r="F2" s="47"/>
      <c r="G2" s="47"/>
      <c r="H2" s="48"/>
    </row>
    <row r="3" spans="1:10" s="14" customFormat="1" x14ac:dyDescent="0.2">
      <c r="A3" s="251" t="s">
        <v>423</v>
      </c>
      <c r="B3" s="252"/>
      <c r="C3" s="252"/>
      <c r="D3" s="252"/>
      <c r="E3" s="252"/>
      <c r="F3" s="252"/>
      <c r="G3" s="252"/>
      <c r="H3" s="253"/>
      <c r="I3" s="19"/>
    </row>
    <row r="4" spans="1:10" s="14" customFormat="1" ht="3" customHeight="1" x14ac:dyDescent="0.2">
      <c r="A4" s="49"/>
      <c r="B4" s="86"/>
      <c r="C4" s="2"/>
      <c r="D4" s="2"/>
      <c r="E4" s="2"/>
      <c r="F4" s="2"/>
      <c r="G4" s="2"/>
      <c r="H4" s="50"/>
      <c r="I4" s="19"/>
    </row>
    <row r="5" spans="1:10" s="14" customFormat="1" ht="11.25" customHeight="1" x14ac:dyDescent="0.2">
      <c r="A5" s="49" t="str">
        <f>'MM CALC'!A3</f>
        <v>PREFEITURA MUNICIPAL DE XXXXX</v>
      </c>
      <c r="B5" s="86"/>
      <c r="C5" s="2"/>
      <c r="D5" s="2"/>
      <c r="E5" s="2"/>
      <c r="F5" s="2"/>
      <c r="G5" s="2"/>
      <c r="H5" s="50"/>
      <c r="I5" s="19"/>
    </row>
    <row r="6" spans="1:10" s="14" customFormat="1" x14ac:dyDescent="0.2">
      <c r="A6" s="49" t="str">
        <f>'MM CALC'!A4</f>
        <v xml:space="preserve">OBRA: CONSTRUÇÃO DE CAPELA VELÓRIO - M A-01 (uma sala de vigília) </v>
      </c>
      <c r="B6" s="86"/>
      <c r="C6" s="57" t="s">
        <v>422</v>
      </c>
      <c r="D6" s="166">
        <f>'PLAN ORÇ'!I131</f>
        <v>0</v>
      </c>
      <c r="E6" s="57"/>
      <c r="F6" s="57"/>
      <c r="G6" s="57"/>
      <c r="H6" s="1" t="str">
        <f>'MM CALC'!E3</f>
        <v>DATA: XX/XX/XXXX</v>
      </c>
    </row>
    <row r="7" spans="1:10" s="14" customFormat="1" x14ac:dyDescent="0.2">
      <c r="A7" s="49" t="str">
        <f>'MM CALC'!A5</f>
        <v>LOCAL: RUA/AVENIDA XXXXX, Nº XXX, BAIRRO XXX - CIDADE XXXX, MINAS GERAIS</v>
      </c>
      <c r="B7" s="86"/>
      <c r="C7" s="2"/>
      <c r="D7" s="2"/>
      <c r="E7" s="2"/>
      <c r="F7" s="2"/>
      <c r="G7" s="2"/>
      <c r="H7" s="50"/>
    </row>
    <row r="8" spans="1:10" ht="25.5" x14ac:dyDescent="0.2">
      <c r="A8" s="119" t="s">
        <v>0</v>
      </c>
      <c r="B8" s="119" t="s">
        <v>1</v>
      </c>
      <c r="C8" s="159" t="s">
        <v>68</v>
      </c>
      <c r="D8" s="95" t="s">
        <v>19</v>
      </c>
      <c r="E8" s="95" t="s">
        <v>20</v>
      </c>
      <c r="F8" s="95" t="s">
        <v>26</v>
      </c>
      <c r="G8" s="95" t="s">
        <v>421</v>
      </c>
      <c r="H8" s="95" t="s">
        <v>8</v>
      </c>
    </row>
    <row r="9" spans="1:10" x14ac:dyDescent="0.2">
      <c r="A9" s="263">
        <f>'PLAN ORÇ'!A13</f>
        <v>1</v>
      </c>
      <c r="B9" s="264" t="str">
        <f>'PLAN ORÇ'!D13</f>
        <v>SERVIÇOS PRELIMINARES</v>
      </c>
      <c r="C9" s="45" t="e">
        <f>C10/$C$24</f>
        <v>#DIV/0!</v>
      </c>
      <c r="D9" s="45" t="e">
        <f>D10/$C$24</f>
        <v>#DIV/0!</v>
      </c>
      <c r="E9" s="45"/>
      <c r="F9" s="45"/>
      <c r="G9" s="45"/>
      <c r="H9" s="45" t="e">
        <f>SUM(D9:G9)</f>
        <v>#DIV/0!</v>
      </c>
    </row>
    <row r="10" spans="1:10" x14ac:dyDescent="0.2">
      <c r="A10" s="263"/>
      <c r="B10" s="265"/>
      <c r="C10" s="40">
        <f>'PLAN ORÇ'!I13</f>
        <v>0</v>
      </c>
      <c r="D10" s="40">
        <f>C10</f>
        <v>0</v>
      </c>
      <c r="E10" s="40"/>
      <c r="F10" s="40"/>
      <c r="G10" s="40"/>
      <c r="H10" s="40">
        <f>ROUND(SUM(D10:G10),2)</f>
        <v>0</v>
      </c>
      <c r="J10" s="51"/>
    </row>
    <row r="11" spans="1:10" x14ac:dyDescent="0.2">
      <c r="A11" s="268">
        <f>'PLAN ORÇ'!A16</f>
        <v>2</v>
      </c>
      <c r="B11" s="264" t="str">
        <f>'PLAN ORÇ'!D16</f>
        <v>TRABALHOS EM TERRA</v>
      </c>
      <c r="C11" s="45" t="e">
        <f>C12/$C$24</f>
        <v>#DIV/0!</v>
      </c>
      <c r="D11" s="45" t="e">
        <f>D12/$C$24</f>
        <v>#DIV/0!</v>
      </c>
      <c r="E11" s="45"/>
      <c r="F11" s="45"/>
      <c r="G11" s="45"/>
      <c r="H11" s="45" t="e">
        <f>SUM(D11:G11)</f>
        <v>#DIV/0!</v>
      </c>
    </row>
    <row r="12" spans="1:10" x14ac:dyDescent="0.2">
      <c r="A12" s="269"/>
      <c r="B12" s="265"/>
      <c r="C12" s="40">
        <f>'PLAN ORÇ'!I16</f>
        <v>0</v>
      </c>
      <c r="D12" s="40">
        <f>C12</f>
        <v>0</v>
      </c>
      <c r="E12" s="40"/>
      <c r="F12" s="40"/>
      <c r="G12" s="40"/>
      <c r="H12" s="40">
        <f>ROUND(SUM(D12:G12),2)</f>
        <v>0</v>
      </c>
      <c r="J12" s="51"/>
    </row>
    <row r="13" spans="1:10" ht="12.75" customHeight="1" x14ac:dyDescent="0.2">
      <c r="A13" s="268">
        <f>'PLAN ORÇ'!A20</f>
        <v>3</v>
      </c>
      <c r="B13" s="264" t="str">
        <f>'PLAN ORÇ'!D20</f>
        <v>ESTRUTURAS EM CONCRETO ARMADO</v>
      </c>
      <c r="C13" s="45" t="e">
        <f>C14/$C$24</f>
        <v>#DIV/0!</v>
      </c>
      <c r="D13" s="45" t="e">
        <f>D14/$C$24</f>
        <v>#DIV/0!</v>
      </c>
      <c r="E13" s="45" t="e">
        <f>C13-D13</f>
        <v>#DIV/0!</v>
      </c>
      <c r="F13" s="45"/>
      <c r="G13" s="45"/>
      <c r="H13" s="45" t="e">
        <f>SUM(D13:G13)</f>
        <v>#DIV/0!</v>
      </c>
    </row>
    <row r="14" spans="1:10" x14ac:dyDescent="0.2">
      <c r="A14" s="269"/>
      <c r="B14" s="265"/>
      <c r="C14" s="40">
        <f>'PLAN ORÇ'!I20</f>
        <v>0</v>
      </c>
      <c r="D14" s="40">
        <f>C14/2</f>
        <v>0</v>
      </c>
      <c r="E14" s="40">
        <f>C14-D14</f>
        <v>0</v>
      </c>
      <c r="F14" s="40"/>
      <c r="G14" s="40"/>
      <c r="H14" s="40">
        <f>ROUND(SUM(D14:G14),2)</f>
        <v>0</v>
      </c>
      <c r="J14" s="51"/>
    </row>
    <row r="15" spans="1:10" ht="12.75" customHeight="1" x14ac:dyDescent="0.2">
      <c r="A15" s="268">
        <f>'PLAN ORÇ'!A36</f>
        <v>4</v>
      </c>
      <c r="B15" s="264" t="str">
        <f>'PLAN ORÇ'!D36</f>
        <v>VEDAÇÕES, PISOS, COBERTURAS, ESQUADRIAS, ACABAMENTOS E ACESSÓRIOS</v>
      </c>
      <c r="C15" s="45" t="e">
        <f>C16/$C$24</f>
        <v>#DIV/0!</v>
      </c>
      <c r="D15" s="45" t="e">
        <f>D16/$C$24</f>
        <v>#DIV/0!</v>
      </c>
      <c r="E15" s="45" t="e">
        <f>E16/$C$24</f>
        <v>#DIV/0!</v>
      </c>
      <c r="F15" s="45" t="e">
        <f t="shared" ref="F15:G15" si="0">F16/$C$24</f>
        <v>#DIV/0!</v>
      </c>
      <c r="G15" s="45" t="e">
        <f t="shared" si="0"/>
        <v>#DIV/0!</v>
      </c>
      <c r="H15" s="45" t="e">
        <f>SUM(D15:G15)</f>
        <v>#DIV/0!</v>
      </c>
    </row>
    <row r="16" spans="1:10" x14ac:dyDescent="0.2">
      <c r="A16" s="269"/>
      <c r="B16" s="265"/>
      <c r="C16" s="40">
        <f>'PLAN ORÇ'!I36</f>
        <v>0</v>
      </c>
      <c r="D16" s="40">
        <f>$C$16/4</f>
        <v>0</v>
      </c>
      <c r="E16" s="40">
        <f t="shared" ref="E16:G16" si="1">$C$16/4</f>
        <v>0</v>
      </c>
      <c r="F16" s="40">
        <f t="shared" si="1"/>
        <v>0</v>
      </c>
      <c r="G16" s="40">
        <f t="shared" si="1"/>
        <v>0</v>
      </c>
      <c r="H16" s="40">
        <f>ROUND(SUM(D16:G16),2)</f>
        <v>0</v>
      </c>
      <c r="J16" s="51"/>
    </row>
    <row r="17" spans="1:10" ht="12.75" customHeight="1" x14ac:dyDescent="0.2">
      <c r="A17" s="268">
        <f>'PLAN ORÇ'!A96</f>
        <v>5</v>
      </c>
      <c r="B17" s="264" t="str">
        <f>'PLAN ORÇ'!D96</f>
        <v>INSTALAÇÕES ELÉTRICAS</v>
      </c>
      <c r="C17" s="45" t="e">
        <f>C18/$C$24</f>
        <v>#DIV/0!</v>
      </c>
      <c r="D17" s="45"/>
      <c r="E17" s="45" t="e">
        <f>E18/$C$24</f>
        <v>#DIV/0!</v>
      </c>
      <c r="F17" s="45" t="e">
        <f>F18/$C$24</f>
        <v>#DIV/0!</v>
      </c>
      <c r="G17" s="45" t="e">
        <f>G18/$C$24</f>
        <v>#DIV/0!</v>
      </c>
      <c r="H17" s="45" t="e">
        <f>SUM(D17:G17)</f>
        <v>#DIV/0!</v>
      </c>
    </row>
    <row r="18" spans="1:10" x14ac:dyDescent="0.2">
      <c r="A18" s="269"/>
      <c r="B18" s="265"/>
      <c r="C18" s="40">
        <f>'PLAN ORÇ'!I96</f>
        <v>0</v>
      </c>
      <c r="D18" s="40"/>
      <c r="E18" s="40">
        <f>$C$18/3</f>
        <v>0</v>
      </c>
      <c r="F18" s="40">
        <f>$C$18/3</f>
        <v>0</v>
      </c>
      <c r="G18" s="40">
        <f>$C$18/3</f>
        <v>0</v>
      </c>
      <c r="H18" s="40">
        <f>ROUND(SUM(D18:G18),2)</f>
        <v>0</v>
      </c>
      <c r="J18" s="51"/>
    </row>
    <row r="19" spans="1:10" ht="12.75" customHeight="1" x14ac:dyDescent="0.2">
      <c r="A19" s="268">
        <f>'PLAN ORÇ'!A114</f>
        <v>6</v>
      </c>
      <c r="B19" s="264" t="str">
        <f>'PLAN ORÇ'!D114</f>
        <v>INSTALAÇÕES HIDROSSANITÁRIAS</v>
      </c>
      <c r="C19" s="45" t="e">
        <f>C20/$C$24</f>
        <v>#DIV/0!</v>
      </c>
      <c r="D19" s="45" t="e">
        <f>D20/$C$24</f>
        <v>#DIV/0!</v>
      </c>
      <c r="E19" s="45" t="e">
        <f>E20/$C$24</f>
        <v>#DIV/0!</v>
      </c>
      <c r="F19" s="45" t="e">
        <f>F20/$C$24</f>
        <v>#DIV/0!</v>
      </c>
      <c r="G19" s="45"/>
      <c r="H19" s="45" t="e">
        <f>SUM(D19:G19)</f>
        <v>#DIV/0!</v>
      </c>
    </row>
    <row r="20" spans="1:10" x14ac:dyDescent="0.2">
      <c r="A20" s="269"/>
      <c r="B20" s="265"/>
      <c r="C20" s="40">
        <f>'PLAN ORÇ'!I114</f>
        <v>0</v>
      </c>
      <c r="D20" s="40">
        <f>$C$20/3</f>
        <v>0</v>
      </c>
      <c r="E20" s="40">
        <f>$C$20/3</f>
        <v>0</v>
      </c>
      <c r="F20" s="40">
        <f>$C$20/3</f>
        <v>0</v>
      </c>
      <c r="G20" s="40"/>
      <c r="H20" s="40">
        <f>ROUND(SUM(D20:G20),2)</f>
        <v>0</v>
      </c>
      <c r="J20" s="51"/>
    </row>
    <row r="21" spans="1:10" ht="12.75" customHeight="1" x14ac:dyDescent="0.2">
      <c r="A21" s="268">
        <f>'PLAN ORÇ'!A129</f>
        <v>7</v>
      </c>
      <c r="B21" s="264" t="str">
        <f>'PLAN ORÇ'!D129</f>
        <v>LIMPEZA DE OBRA</v>
      </c>
      <c r="C21" s="45" t="e">
        <f>C22/$C$24</f>
        <v>#DIV/0!</v>
      </c>
      <c r="D21" s="45"/>
      <c r="E21" s="45"/>
      <c r="F21" s="45"/>
      <c r="G21" s="45" t="e">
        <f>G22/$C$24</f>
        <v>#DIV/0!</v>
      </c>
      <c r="H21" s="45" t="e">
        <f>SUM(D21:G21)</f>
        <v>#DIV/0!</v>
      </c>
    </row>
    <row r="22" spans="1:10" x14ac:dyDescent="0.2">
      <c r="A22" s="269"/>
      <c r="B22" s="265"/>
      <c r="C22" s="40">
        <f>'PLAN ORÇ'!I129</f>
        <v>0</v>
      </c>
      <c r="D22" s="40"/>
      <c r="E22" s="40"/>
      <c r="F22" s="40"/>
      <c r="G22" s="40">
        <f>C22</f>
        <v>0</v>
      </c>
      <c r="H22" s="40">
        <f>ROUND(SUM(D22:G22),2)</f>
        <v>0</v>
      </c>
      <c r="J22" s="51"/>
    </row>
    <row r="23" spans="1:10" x14ac:dyDescent="0.2">
      <c r="A23" s="266" t="s">
        <v>8</v>
      </c>
      <c r="B23" s="266"/>
      <c r="C23" s="109" t="e">
        <f t="shared" ref="C23:G24" si="2">C9+C11+C13+C15+C17+C19+C21</f>
        <v>#DIV/0!</v>
      </c>
      <c r="D23" s="109" t="e">
        <f t="shared" si="2"/>
        <v>#DIV/0!</v>
      </c>
      <c r="E23" s="109" t="e">
        <f t="shared" si="2"/>
        <v>#DIV/0!</v>
      </c>
      <c r="F23" s="109" t="e">
        <f t="shared" si="2"/>
        <v>#DIV/0!</v>
      </c>
      <c r="G23" s="109" t="e">
        <f t="shared" si="2"/>
        <v>#DIV/0!</v>
      </c>
      <c r="H23" s="41" t="e">
        <f>SUM(D23:G23)</f>
        <v>#DIV/0!</v>
      </c>
    </row>
    <row r="24" spans="1:10" x14ac:dyDescent="0.2">
      <c r="A24" s="267"/>
      <c r="B24" s="267"/>
      <c r="C24" s="42">
        <f t="shared" si="2"/>
        <v>0</v>
      </c>
      <c r="D24" s="42">
        <f t="shared" si="2"/>
        <v>0</v>
      </c>
      <c r="E24" s="42">
        <f t="shared" si="2"/>
        <v>0</v>
      </c>
      <c r="F24" s="42">
        <f t="shared" si="2"/>
        <v>0</v>
      </c>
      <c r="G24" s="42">
        <f t="shared" si="2"/>
        <v>0</v>
      </c>
      <c r="H24" s="42">
        <f>SUM(D24:G24)</f>
        <v>0</v>
      </c>
    </row>
    <row r="25" spans="1:10" x14ac:dyDescent="0.2">
      <c r="A25" s="190"/>
      <c r="B25" s="94"/>
      <c r="C25" s="36"/>
      <c r="D25" s="37"/>
      <c r="E25" s="37"/>
      <c r="F25" s="37"/>
      <c r="G25" s="37"/>
      <c r="H25" s="38"/>
    </row>
    <row r="26" spans="1:10" x14ac:dyDescent="0.2">
      <c r="A26" s="190"/>
      <c r="B26" s="94"/>
      <c r="C26" s="36"/>
      <c r="D26" s="37"/>
      <c r="E26" s="37"/>
      <c r="F26" s="37"/>
      <c r="G26" s="37"/>
      <c r="H26" s="38"/>
    </row>
    <row r="27" spans="1:10" x14ac:dyDescent="0.2">
      <c r="A27" s="27"/>
      <c r="B27" s="94"/>
      <c r="C27" s="19"/>
      <c r="D27" s="19"/>
      <c r="E27" s="19"/>
      <c r="F27" s="19"/>
      <c r="G27" s="19"/>
      <c r="H27" s="39"/>
    </row>
    <row r="28" spans="1:10" x14ac:dyDescent="0.2">
      <c r="A28" s="27"/>
      <c r="B28" s="112" t="s">
        <v>37</v>
      </c>
      <c r="C28" s="19"/>
      <c r="D28" s="112" t="s">
        <v>37</v>
      </c>
      <c r="E28" s="55"/>
      <c r="F28" s="55"/>
      <c r="G28" s="55"/>
      <c r="H28" s="39"/>
      <c r="J28" s="51"/>
    </row>
    <row r="29" spans="1:10" x14ac:dyDescent="0.2">
      <c r="A29" s="27"/>
      <c r="B29" s="76" t="str">
        <f>'MM CALC'!D131</f>
        <v>Nome do profissional responsável</v>
      </c>
      <c r="C29" s="19"/>
      <c r="D29" s="111" t="str">
        <f>'MM CALC'!G131</f>
        <v>Nome do Prefeito</v>
      </c>
      <c r="E29" s="191"/>
      <c r="F29" s="191"/>
      <c r="G29" s="191"/>
      <c r="H29" s="39"/>
    </row>
    <row r="30" spans="1:10" x14ac:dyDescent="0.2">
      <c r="A30" s="27"/>
      <c r="B30" s="112" t="str">
        <f>'MM CALC'!D132</f>
        <v xml:space="preserve">Engenheiro Civil? Arquiteto? CREA? CAU? nº XXXXXX/D </v>
      </c>
      <c r="C30" s="19"/>
      <c r="D30" s="112" t="str">
        <f>'MM CALC'!G132</f>
        <v>Prefeito Municipal de XXXX</v>
      </c>
      <c r="E30" s="192"/>
      <c r="F30" s="192"/>
      <c r="G30" s="192"/>
      <c r="H30" s="39"/>
    </row>
    <row r="31" spans="1:10" x14ac:dyDescent="0.2">
      <c r="A31" s="27"/>
      <c r="B31" s="97"/>
      <c r="C31" s="19"/>
      <c r="D31" s="19"/>
      <c r="E31" s="19"/>
      <c r="F31" s="19"/>
      <c r="G31" s="19"/>
      <c r="H31" s="39"/>
    </row>
    <row r="32" spans="1:10" x14ac:dyDescent="0.2">
      <c r="A32" s="27"/>
      <c r="B32" s="97"/>
      <c r="C32" s="19"/>
      <c r="D32" s="19"/>
      <c r="E32" s="19"/>
      <c r="F32" s="19"/>
      <c r="G32" s="19"/>
      <c r="H32" s="39"/>
    </row>
    <row r="33" spans="1:10" x14ac:dyDescent="0.2">
      <c r="A33" s="52"/>
      <c r="B33" s="98"/>
      <c r="C33" s="53"/>
      <c r="D33" s="53"/>
      <c r="E33" s="53"/>
      <c r="F33" s="53"/>
      <c r="G33" s="53"/>
      <c r="H33" s="54"/>
      <c r="J33" s="51"/>
    </row>
    <row r="34" spans="1:10" x14ac:dyDescent="0.2">
      <c r="J34" s="51"/>
    </row>
  </sheetData>
  <mergeCells count="16">
    <mergeCell ref="A3:H3"/>
    <mergeCell ref="A9:A10"/>
    <mergeCell ref="B9:B10"/>
    <mergeCell ref="A23:B24"/>
    <mergeCell ref="A11:A12"/>
    <mergeCell ref="B11:B12"/>
    <mergeCell ref="A13:A14"/>
    <mergeCell ref="B13:B14"/>
    <mergeCell ref="A15:A16"/>
    <mergeCell ref="B15:B16"/>
    <mergeCell ref="A17:A18"/>
    <mergeCell ref="B17:B18"/>
    <mergeCell ref="A19:A20"/>
    <mergeCell ref="B19:B20"/>
    <mergeCell ref="A21:A22"/>
    <mergeCell ref="B21:B22"/>
  </mergeCells>
  <printOptions horizontalCentered="1"/>
  <pageMargins left="0.78740157480314965" right="0.59055118110236227" top="1.5748031496062993" bottom="0.78740157480314965" header="0.31496062992125984" footer="0.31496062992125984"/>
  <pageSetup paperSize="9" scale="92" orientation="landscape" horizontalDpi="4294967292" verticalDpi="1200" r:id="rId1"/>
  <ignoredErrors>
    <ignoredError sqref="C9:H9" evalError="1"/>
    <ignoredError sqref="C10:H24" evalError="1" formula="1"/>
  </ignoredErrors>
  <drawing r:id="rId2"/>
  <legacyDrawing r:id="rId3"/>
  <oleObjects>
    <mc:AlternateContent xmlns:mc="http://schemas.openxmlformats.org/markup-compatibility/2006">
      <mc:Choice Requires="x14">
        <oleObject progId="Word.Picture.8" shapeId="8193" r:id="rId4">
          <objectPr defaultSize="0" autoPict="0" r:id="rId5">
            <anchor moveWithCells="1">
              <from>
                <xdr:col>0</xdr:col>
                <xdr:colOff>257175</xdr:colOff>
                <xdr:row>0</xdr:row>
                <xdr:rowOff>123825</xdr:rowOff>
              </from>
              <to>
                <xdr:col>1</xdr:col>
                <xdr:colOff>723900</xdr:colOff>
                <xdr:row>0</xdr:row>
                <xdr:rowOff>809625</xdr:rowOff>
              </to>
            </anchor>
          </objectPr>
        </oleObject>
      </mc:Choice>
      <mc:Fallback>
        <oleObject progId="Word.Picture.8" shapeId="819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6</vt:i4>
      </vt:variant>
    </vt:vector>
  </HeadingPairs>
  <TitlesOfParts>
    <vt:vector size="9" baseType="lpstr">
      <vt:lpstr>PLAN ORÇ</vt:lpstr>
      <vt:lpstr>MM CALC</vt:lpstr>
      <vt:lpstr>CRON</vt:lpstr>
      <vt:lpstr>CRON!Area_de_impressao</vt:lpstr>
      <vt:lpstr>'MM CALC'!Area_de_impressao</vt:lpstr>
      <vt:lpstr>'PLAN ORÇ'!Area_de_impressao</vt:lpstr>
      <vt:lpstr>Fonte</vt:lpstr>
      <vt:lpstr>'MM CALC'!Titulos_de_impressao</vt:lpstr>
      <vt:lpstr>'PLAN ORÇ'!Titulos_de_impressao</vt:lpstr>
    </vt:vector>
  </TitlesOfParts>
  <Company>EMPRESARIAL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Denise Pontes Marques (SETOP)</cp:lastModifiedBy>
  <cp:lastPrinted>2019-11-18T14:28:58Z</cp:lastPrinted>
  <dcterms:created xsi:type="dcterms:W3CDTF">2010-03-02T12:32:19Z</dcterms:created>
  <dcterms:modified xsi:type="dcterms:W3CDTF">2019-11-18T20:28:36Z</dcterms:modified>
</cp:coreProperties>
</file>